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<sst xmlns="http://schemas.openxmlformats.org/spreadsheetml/2006/main" count="422" uniqueCount="156">
  <si>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</si>
  <si>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</si>
  <si>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</si>
  <si>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</si>
  <si>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</si>
  <si>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</si>
  <si>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</si>
  <si>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</si>
  <si>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</si>
  <si>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</si>
  <si>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</si>
  <si>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</si>
  <si>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</si>
  <si>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</si>
  <si>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</si>
  <si>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</si>
  <si>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</si>
  <si>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</si>
  <si>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</si>
  <si>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</si>
  <si>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</si>
  <si>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</si>
  <si>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</si>
  <si>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</si>
  <si>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</si>
  <si>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</si>
  <si>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</si>
  <si>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</si>
  <si>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</si>
  <si>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</si>
  <si>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</si>
  <si>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</si>
  <si>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</si>
  <si>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</si>
  <si>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</si>
  <si>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</si>
  <si>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</si>
  <si>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</si>
  <si>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</si>
  <si>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</si>
  <si>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</si>
  <si>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</si>
  <si>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</si>
  <si>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</si>
  <si>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</si>
  <si>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</si>
  <si>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</si>
  <si>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</si>
  <si>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</si>
  <si>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</si>
  <si>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</si>
  <si>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</si>
  <si>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</si>
  <si>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</si>
  <si>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</si>
  <si>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</si>
  <si>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</si>
  <si>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</si>
  <si>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</si>
  <si>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</si>
  <si>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</si>
  <si>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</si>
  <si>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</si>
  <si>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</si>
  <si>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</si>
  <si>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</si>
  <si>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</si>
  <si>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</si>
  <si>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</si>
  <si>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</si>
  <si>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</si>
  <si>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</si>
  <si>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</si>
  <si>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</si>
  <si>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</si>
  <si>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</si>
  <si>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</si>
  <si>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</si>
  <si>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</si>
  <si>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</si>
  <si>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</si>
  <si>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</si>
  <si>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</si>
  <si>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</si>
  <si>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</si>
  <si>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</si>
  <si>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</si>
  <si>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</si>
  <si>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</si>
  <si>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</si>
  <si>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</si>
  <si>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</si>
  <si>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</si>
  <si>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</si>
  <si>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</si>
  <si>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</si>
  <si>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</si>
  <si>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</si>
  <si>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</si>
  <si>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</si>
  <si>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</si>
  <si>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</si>
  <si>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</si>
  <si>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</si>
  <si>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</si>
  <si>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</si>
  <si>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</si>
  <si>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</si>
  <si>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</si>
  <si>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</si>
  <si>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</si>
  <si>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</si>
  <si>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</si>
  <si>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</si>
  <si>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</si>
  <si>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</si>
  <si>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</si>
  <si>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</si>
  <si>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</si>
  <si>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</si>
  <si>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</si>
  <si>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</si>
  <si>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</si>
  <si>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</si>
  <si>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</si>
  <si>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</si>
  <si>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</si>
  <si>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</si>
  <si>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</si>
  <si>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</si>
  <si>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</si>
  <si>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</si>
  <si>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</si>
  <si>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</si>
  <si>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</si>
  <si>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</si>
  <si>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</si>
  <si>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</si>
  <si>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</si>
  <si>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</si>
  <si>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</si>
  <si>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</si>
  <si>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</si>
  <si>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</si>
  <si>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</si>
  <si>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</si>
  <si>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</si>
  <si>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</si>
  <si>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</si>
  <si>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</si>
  <si>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t>АКЦИЗНИЙ ПОДАТОК, в т.ч.</t>
  </si>
  <si>
    <r>
      <t>Акцизний податок (</t>
    </r>
    <r>
      <rPr>
        <b/>
        <i/>
        <sz val="12"/>
        <rFont val="Times New Roman"/>
        <family val="1"/>
      </rPr>
      <t>паливо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</si>
  <si>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паливо ввезене</t>
    </r>
    <r>
      <rPr>
        <i/>
        <sz val="12"/>
        <rFont val="Times New Roman"/>
        <family val="1"/>
      </rPr>
      <t>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</si>
  <si>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>ї суб`єктами господарювання роздрібної торгівлі підакцизних товарів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</si>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</sst>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5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7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5" fillId="0" borderId="0" xfId="54" applyNumberFormat="1" applyFont="1" applyProtection="1">
      <alignment/>
      <protection/>
    </xf>
    <xf numFmtId="182" fontId="78" fillId="0" borderId="0" xfId="54" applyNumberFormat="1" applyFont="1" applyFill="1" applyProtection="1">
      <alignment/>
      <protection/>
    </xf>
    <xf numFmtId="182" fontId="78" fillId="0" borderId="0" xfId="54" applyNumberFormat="1" applyFont="1" applyProtection="1">
      <alignment/>
      <protection/>
    </xf>
    <xf numFmtId="182" fontId="77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6" fillId="0" borderId="10" xfId="0" applyNumberFormat="1" applyFont="1" applyFill="1" applyBorder="1" applyAlignment="1" applyProtection="1">
      <alignment/>
      <protection/>
    </xf>
    <xf numFmtId="191" fontId="76" fillId="0" borderId="10" xfId="0" applyNumberFormat="1" applyFont="1" applyFill="1" applyBorder="1" applyAlignment="1" applyProtection="1">
      <alignment/>
      <protection/>
    </xf>
    <xf numFmtId="182" fontId="38" fillId="0" borderId="0" xfId="0" applyNumberFormat="1" applyFont="1" applyAlignment="1" applyProtection="1">
      <alignment/>
      <protection/>
    </xf>
    <xf numFmtId="182" fontId="79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5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0" style="243" hidden="1" customWidth="1"/>
    <col min="22" max="16384" width="9.125" style="4" customWidth="1"/>
  </cols>
  <sheetData>
    <row r="1" spans="1:21" s="1" customFormat="1" ht="26.2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  <c r="T1" s="238"/>
      <c r="U1" s="241"/>
    </row>
    <row r="2" spans="2:21" s="1" customFormat="1" ht="15.75" customHeight="1">
      <c r="B2" s="254"/>
      <c r="C2" s="254"/>
      <c r="D2" s="25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</row>
    <row r="3" spans="1:21" s="3" customFormat="1" ht="13.5" customHeight="1">
      <c r="A3" s="255"/>
      <c r="B3" s="257"/>
      <c r="C3" s="258" t="s">
        <v>0</v>
      </c>
      <c r="D3" s="259" t="s">
        <v>138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143</v>
      </c>
      <c r="O3" s="266" t="s">
        <v>144</v>
      </c>
      <c r="P3" s="266"/>
      <c r="Q3" s="266"/>
      <c r="R3" s="266"/>
      <c r="S3" s="266"/>
      <c r="T3" s="112"/>
      <c r="U3" s="242"/>
    </row>
    <row r="4" spans="1:19" ht="22.5" customHeight="1">
      <c r="A4" s="255"/>
      <c r="B4" s="257"/>
      <c r="C4" s="258"/>
      <c r="D4" s="259"/>
      <c r="E4" s="267" t="s">
        <v>141</v>
      </c>
      <c r="F4" s="269" t="s">
        <v>33</v>
      </c>
      <c r="G4" s="271" t="s">
        <v>142</v>
      </c>
      <c r="H4" s="264" t="s">
        <v>134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155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21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149</v>
      </c>
      <c r="L5" s="277"/>
      <c r="M5" s="278"/>
      <c r="N5" s="265"/>
      <c r="O5" s="274"/>
      <c r="P5" s="272"/>
      <c r="Q5" s="275"/>
      <c r="R5" s="276" t="s">
        <v>102</v>
      </c>
      <c r="S5" s="278"/>
      <c r="T5" s="28" t="s">
        <v>147</v>
      </c>
      <c r="U5" s="243" t="s">
        <v>148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285439.5</v>
      </c>
      <c r="F8" s="149">
        <f>F9+F15+F18+F19+F23+F40</f>
        <v>243486.86</v>
      </c>
      <c r="G8" s="149">
        <f aca="true" t="shared" si="0" ref="G8:G40">F8-E8</f>
        <v>-41952.640000000014</v>
      </c>
      <c r="H8" s="150">
        <f>F8/E8*100</f>
        <v>85.30244062226846</v>
      </c>
      <c r="I8" s="151">
        <f>F8-D8</f>
        <v>-1054964.2400000002</v>
      </c>
      <c r="J8" s="151">
        <f>F8/D8*100</f>
        <v>18.752100868488615</v>
      </c>
      <c r="K8" s="149">
        <v>209787.72</v>
      </c>
      <c r="L8" s="149">
        <f aca="true" t="shared" si="1" ref="L8:L54">F8-K8</f>
        <v>33699.139999999985</v>
      </c>
      <c r="M8" s="203">
        <f aca="true" t="shared" si="2" ref="M8:M31">F8/K8</f>
        <v>1.1606344737432677</v>
      </c>
      <c r="N8" s="149">
        <f>N9+N15+N18+N19+N23+N17</f>
        <v>89194</v>
      </c>
      <c r="O8" s="149">
        <f>O9+O15+O18+O19+O23+O17</f>
        <v>48655.389999999985</v>
      </c>
      <c r="P8" s="149">
        <f>O8-N8</f>
        <v>-40538.610000000015</v>
      </c>
      <c r="Q8" s="149">
        <f>O8/N8*100</f>
        <v>54.55007063255374</v>
      </c>
      <c r="R8" s="15" t="e">
        <f>#N/A</f>
        <v>#N/A</v>
      </c>
      <c r="S8" s="15" t="e">
        <f>#N/A</f>
        <v>#N/A</v>
      </c>
      <c r="T8" s="145"/>
      <c r="U8" s="239"/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134115.46</v>
      </c>
      <c r="G9" s="148">
        <f t="shared" si="0"/>
        <v>-25044.540000000008</v>
      </c>
      <c r="H9" s="155">
        <f>F9/E9*100</f>
        <v>84.26455139482282</v>
      </c>
      <c r="I9" s="156">
        <f>F9-D9</f>
        <v>-632529.54</v>
      </c>
      <c r="J9" s="156">
        <f>F9/D9*100</f>
        <v>17.493815259996477</v>
      </c>
      <c r="K9" s="225">
        <v>112281.82</v>
      </c>
      <c r="L9" s="157">
        <f t="shared" si="1"/>
        <v>21833.639999999985</v>
      </c>
      <c r="M9" s="204">
        <f t="shared" si="2"/>
        <v>1.1944539196104942</v>
      </c>
      <c r="N9" s="155">
        <f>E9-лютий!E9</f>
        <v>56960</v>
      </c>
      <c r="O9" s="158">
        <f>F9-лютий!F9</f>
        <v>32229.51999999999</v>
      </c>
      <c r="P9" s="159">
        <f>O9-N9</f>
        <v>-24730.48000000001</v>
      </c>
      <c r="Q9" s="156">
        <f>O9/N9*100</f>
        <v>56.58272471910111</v>
      </c>
      <c r="R9" s="99"/>
      <c r="S9" s="100"/>
      <c r="T9" s="145">
        <v>58776</v>
      </c>
      <c r="U9" s="239">
        <f>O9-T9</f>
        <v>-26546.48000000001</v>
      </c>
    </row>
    <row r="10" spans="1:21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122855.32</v>
      </c>
      <c r="G10" s="102">
        <f t="shared" si="0"/>
        <v>-20956.679999999993</v>
      </c>
      <c r="H10" s="29">
        <f aca="true" t="shared" si="3" ref="H10:H39">F10/E10*100</f>
        <v>85.42772508552834</v>
      </c>
      <c r="I10" s="103">
        <f aca="true" t="shared" si="4" ref="I10:I40">F10-D10</f>
        <v>-578461.6799999999</v>
      </c>
      <c r="J10" s="103">
        <f aca="true" t="shared" si="5" ref="J10:J39">F10/D10*100</f>
        <v>17.517801507734735</v>
      </c>
      <c r="K10" s="105">
        <v>98464.38</v>
      </c>
      <c r="L10" s="105">
        <f t="shared" si="1"/>
        <v>24390.940000000002</v>
      </c>
      <c r="M10" s="205">
        <f t="shared" si="2"/>
        <v>1.2477133355229577</v>
      </c>
      <c r="N10" s="104">
        <f>E10-лютий!E10</f>
        <v>51464</v>
      </c>
      <c r="O10" s="142">
        <f>F10-лютий!F10</f>
        <v>30128.680000000008</v>
      </c>
      <c r="P10" s="105">
        <f aca="true" t="shared" si="6" ref="P10:P40">O10-N10</f>
        <v>-21335.319999999992</v>
      </c>
      <c r="Q10" s="103">
        <f aca="true" t="shared" si="7" ref="Q10:Q27">O10/N10*100</f>
        <v>58.54321467433547</v>
      </c>
      <c r="R10" s="36"/>
      <c r="S10" s="93"/>
      <c r="T10" s="145"/>
      <c r="U10" s="239">
        <f aca="true" t="shared" si="8" ref="U10:U42">O10-T10</f>
        <v>30128.680000000008</v>
      </c>
    </row>
    <row r="11" spans="1:21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7014.35</v>
      </c>
      <c r="G11" s="102">
        <f t="shared" si="0"/>
        <v>-3785.6499999999996</v>
      </c>
      <c r="H11" s="29">
        <f t="shared" si="3"/>
        <v>64.9476851851852</v>
      </c>
      <c r="I11" s="103">
        <f t="shared" si="4"/>
        <v>-39491.65</v>
      </c>
      <c r="J11" s="103">
        <f t="shared" si="5"/>
        <v>15.082677503977981</v>
      </c>
      <c r="K11" s="105">
        <v>8077.11</v>
      </c>
      <c r="L11" s="105">
        <f t="shared" si="1"/>
        <v>-1062.7599999999993</v>
      </c>
      <c r="M11" s="205">
        <f t="shared" si="2"/>
        <v>0.8684232355384538</v>
      </c>
      <c r="N11" s="104">
        <f>E11-лютий!E11</f>
        <v>3600</v>
      </c>
      <c r="O11" s="142">
        <f>F11-лютий!F11</f>
        <v>1119.0900000000001</v>
      </c>
      <c r="P11" s="105">
        <f t="shared" si="6"/>
        <v>-2480.91</v>
      </c>
      <c r="Q11" s="103">
        <f t="shared" si="7"/>
        <v>31.085833333333333</v>
      </c>
      <c r="R11" s="36"/>
      <c r="S11" s="93"/>
      <c r="T11" s="145"/>
      <c r="U11" s="239">
        <f t="shared" si="8"/>
        <v>1119.0900000000001</v>
      </c>
    </row>
    <row r="12" spans="1:21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1425.43</v>
      </c>
      <c r="G12" s="102">
        <f t="shared" si="0"/>
        <v>-314.56999999999994</v>
      </c>
      <c r="H12" s="29">
        <f t="shared" si="3"/>
        <v>81.9212643678161</v>
      </c>
      <c r="I12" s="103">
        <f t="shared" si="4"/>
        <v>-6854.57</v>
      </c>
      <c r="J12" s="103">
        <f t="shared" si="5"/>
        <v>17.21533816425121</v>
      </c>
      <c r="K12" s="105">
        <v>2379.47</v>
      </c>
      <c r="L12" s="105">
        <f t="shared" si="1"/>
        <v>-954.0399999999997</v>
      </c>
      <c r="M12" s="205">
        <f t="shared" si="2"/>
        <v>0.599053570753151</v>
      </c>
      <c r="N12" s="104">
        <f>E12-лютий!E12</f>
        <v>900</v>
      </c>
      <c r="O12" s="142">
        <f>F12-лютий!F12</f>
        <v>388.01</v>
      </c>
      <c r="P12" s="105">
        <f t="shared" si="6"/>
        <v>-511.99</v>
      </c>
      <c r="Q12" s="103">
        <f t="shared" si="7"/>
        <v>43.112222222222215</v>
      </c>
      <c r="R12" s="36"/>
      <c r="S12" s="93"/>
      <c r="T12" s="145"/>
      <c r="U12" s="239">
        <f t="shared" si="8"/>
        <v>388.01</v>
      </c>
    </row>
    <row r="13" spans="1:21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2446.85</v>
      </c>
      <c r="G13" s="102">
        <f t="shared" si="0"/>
        <v>-73.15000000000009</v>
      </c>
      <c r="H13" s="29">
        <f t="shared" si="3"/>
        <v>97.09722222222223</v>
      </c>
      <c r="I13" s="103">
        <f t="shared" si="4"/>
        <v>-6943.15</v>
      </c>
      <c r="J13" s="103">
        <f t="shared" si="5"/>
        <v>26.0580404685836</v>
      </c>
      <c r="K13" s="105">
        <v>2424.94</v>
      </c>
      <c r="L13" s="105">
        <f t="shared" si="1"/>
        <v>21.909999999999854</v>
      </c>
      <c r="M13" s="205">
        <f t="shared" si="2"/>
        <v>1.0090352750995901</v>
      </c>
      <c r="N13" s="104">
        <f>E13-лютий!E13</f>
        <v>900</v>
      </c>
      <c r="O13" s="142">
        <f>F13-лютий!F13</f>
        <v>418.53</v>
      </c>
      <c r="P13" s="105">
        <f t="shared" si="6"/>
        <v>-481.47</v>
      </c>
      <c r="Q13" s="103">
        <f t="shared" si="7"/>
        <v>46.50333333333333</v>
      </c>
      <c r="R13" s="36"/>
      <c r="S13" s="93"/>
      <c r="T13" s="145"/>
      <c r="U13" s="239">
        <f t="shared" si="8"/>
        <v>418.53</v>
      </c>
    </row>
    <row r="14" spans="1:21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373.51</v>
      </c>
      <c r="G14" s="102">
        <f t="shared" si="0"/>
        <v>85.50999999999999</v>
      </c>
      <c r="H14" s="29">
        <f t="shared" si="3"/>
        <v>129.6909722222222</v>
      </c>
      <c r="I14" s="103">
        <f t="shared" si="4"/>
        <v>-778.49</v>
      </c>
      <c r="J14" s="103">
        <f t="shared" si="5"/>
        <v>32.42274305555555</v>
      </c>
      <c r="K14" s="105">
        <v>935.92</v>
      </c>
      <c r="L14" s="105">
        <f t="shared" si="1"/>
        <v>-562.41</v>
      </c>
      <c r="M14" s="205">
        <f t="shared" si="2"/>
        <v>0.39908325497905806</v>
      </c>
      <c r="N14" s="104">
        <f>E14-лютий!E14</f>
        <v>96</v>
      </c>
      <c r="O14" s="142">
        <f>F14-лютий!F14</f>
        <v>175.2</v>
      </c>
      <c r="P14" s="105">
        <f t="shared" si="6"/>
        <v>79.19999999999999</v>
      </c>
      <c r="Q14" s="103">
        <f t="shared" si="7"/>
        <v>182.5</v>
      </c>
      <c r="R14" s="36"/>
      <c r="S14" s="93"/>
      <c r="T14" s="239"/>
      <c r="U14" s="239">
        <f t="shared" si="8"/>
        <v>175.2</v>
      </c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39">
        <f t="shared" si="8"/>
        <v>-3.1300000000000523</v>
      </c>
    </row>
    <row r="16" spans="1:21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</row>
    <row r="17" spans="1:21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39"/>
    </row>
    <row r="19" spans="1:21" s="6" customFormat="1" ht="18">
      <c r="A19" s="8"/>
      <c r="B19" s="13" t="s">
        <v>150</v>
      </c>
      <c r="C19" s="42">
        <v>14000000</v>
      </c>
      <c r="D19" s="148">
        <f>D20+D21+D22</f>
        <v>130000</v>
      </c>
      <c r="E19" s="148">
        <f>E20+E21+E22</f>
        <v>27800</v>
      </c>
      <c r="F19" s="154">
        <f>F20+F21+F22</f>
        <v>21876.35</v>
      </c>
      <c r="G19" s="160">
        <f t="shared" si="0"/>
        <v>-5923.6500000000015</v>
      </c>
      <c r="H19" s="162">
        <f t="shared" si="3"/>
        <v>78.69190647482014</v>
      </c>
      <c r="I19" s="163">
        <f t="shared" si="4"/>
        <v>-108123.65</v>
      </c>
      <c r="J19" s="163">
        <f t="shared" si="5"/>
        <v>16.827961538461537</v>
      </c>
      <c r="K19" s="159">
        <v>18270.9</v>
      </c>
      <c r="L19" s="165">
        <f t="shared" si="1"/>
        <v>3605.449999999997</v>
      </c>
      <c r="M19" s="211">
        <f t="shared" si="2"/>
        <v>1.197332917371339</v>
      </c>
      <c r="N19" s="162">
        <f>N20+N21+N22</f>
        <v>9800</v>
      </c>
      <c r="O19" s="166">
        <f>O20+O21+O22</f>
        <v>8170.4400000000005</v>
      </c>
      <c r="P19" s="165">
        <f t="shared" si="6"/>
        <v>-1629.5599999999995</v>
      </c>
      <c r="Q19" s="163">
        <f t="shared" si="7"/>
        <v>83.37183673469389</v>
      </c>
      <c r="R19" s="36"/>
      <c r="S19" s="93"/>
      <c r="T19" s="145"/>
      <c r="U19" s="239"/>
    </row>
    <row r="20" spans="1:22" s="6" customFormat="1" ht="46.5">
      <c r="A20" s="8"/>
      <c r="B20" s="245" t="s">
        <v>153</v>
      </c>
      <c r="C20" s="122">
        <v>14040000</v>
      </c>
      <c r="D20" s="246">
        <v>130000</v>
      </c>
      <c r="E20" s="246">
        <v>27800</v>
      </c>
      <c r="F20" s="199">
        <v>14205.86</v>
      </c>
      <c r="G20" s="246">
        <f t="shared" si="0"/>
        <v>-13594.14</v>
      </c>
      <c r="H20" s="193">
        <f t="shared" si="3"/>
        <v>51.10021582733813</v>
      </c>
      <c r="I20" s="247">
        <f t="shared" si="4"/>
        <v>-115794.14</v>
      </c>
      <c r="J20" s="247">
        <f t="shared" si="5"/>
        <v>10.927584615384616</v>
      </c>
      <c r="K20" s="248">
        <v>18270.89</v>
      </c>
      <c r="L20" s="164">
        <f t="shared" si="1"/>
        <v>-4065.029999999999</v>
      </c>
      <c r="M20" s="249">
        <f t="shared" si="2"/>
        <v>0.7775133012130225</v>
      </c>
      <c r="N20" s="193">
        <f>E20-лютий!E19</f>
        <v>9800</v>
      </c>
      <c r="O20" s="177">
        <f>F20-лютий!F19</f>
        <v>499.9500000000007</v>
      </c>
      <c r="P20" s="164">
        <f t="shared" si="6"/>
        <v>-9300.05</v>
      </c>
      <c r="Q20" s="247">
        <f t="shared" si="7"/>
        <v>5.101530612244906</v>
      </c>
      <c r="R20" s="106"/>
      <c r="S20" s="107"/>
      <c r="T20" s="250">
        <v>4250</v>
      </c>
      <c r="U20" s="251">
        <f t="shared" si="8"/>
        <v>-3750.0499999999993</v>
      </c>
      <c r="V20" s="252"/>
    </row>
    <row r="21" spans="1:22" s="6" customFormat="1" ht="18">
      <c r="A21" s="8"/>
      <c r="B21" s="245" t="s">
        <v>151</v>
      </c>
      <c r="C21" s="122">
        <v>14021900</v>
      </c>
      <c r="D21" s="246">
        <v>0</v>
      </c>
      <c r="E21" s="246">
        <v>0</v>
      </c>
      <c r="F21" s="199">
        <v>1564.3</v>
      </c>
      <c r="G21" s="246">
        <f t="shared" si="0"/>
        <v>1564.3</v>
      </c>
      <c r="H21" s="193"/>
      <c r="I21" s="247">
        <f t="shared" si="4"/>
        <v>1564.3</v>
      </c>
      <c r="J21" s="247"/>
      <c r="K21" s="248">
        <v>0</v>
      </c>
      <c r="L21" s="164">
        <f t="shared" si="1"/>
        <v>1564.3</v>
      </c>
      <c r="M21" s="249"/>
      <c r="N21" s="193">
        <v>0</v>
      </c>
      <c r="O21" s="177">
        <f>F21</f>
        <v>1564.3</v>
      </c>
      <c r="P21" s="164"/>
      <c r="Q21" s="247"/>
      <c r="R21" s="106"/>
      <c r="S21" s="107"/>
      <c r="T21" s="250"/>
      <c r="U21" s="251"/>
      <c r="V21" s="252"/>
    </row>
    <row r="22" spans="1:22" s="6" customFormat="1" ht="18">
      <c r="A22" s="8"/>
      <c r="B22" s="245" t="s">
        <v>152</v>
      </c>
      <c r="C22" s="122">
        <v>14031900</v>
      </c>
      <c r="D22" s="246">
        <v>0</v>
      </c>
      <c r="E22" s="246">
        <v>0</v>
      </c>
      <c r="F22" s="199">
        <v>6106.19</v>
      </c>
      <c r="G22" s="246">
        <f t="shared" si="0"/>
        <v>6106.19</v>
      </c>
      <c r="H22" s="193"/>
      <c r="I22" s="247">
        <f t="shared" si="4"/>
        <v>6106.19</v>
      </c>
      <c r="J22" s="247"/>
      <c r="K22" s="248">
        <v>0</v>
      </c>
      <c r="L22" s="164">
        <f t="shared" si="1"/>
        <v>6106.19</v>
      </c>
      <c r="M22" s="249"/>
      <c r="N22" s="193">
        <v>0</v>
      </c>
      <c r="O22" s="177">
        <f>F22</f>
        <v>6106.19</v>
      </c>
      <c r="P22" s="164"/>
      <c r="Q22" s="247"/>
      <c r="R22" s="106"/>
      <c r="S22" s="107"/>
      <c r="T22" s="250"/>
      <c r="U22" s="251"/>
      <c r="V22" s="252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98238.5</v>
      </c>
      <c r="F23" s="221">
        <f>F24+F32+F33+F34+F35</f>
        <v>87743.01</v>
      </c>
      <c r="G23" s="148">
        <f t="shared" si="0"/>
        <v>-10495.490000000005</v>
      </c>
      <c r="H23" s="155">
        <f t="shared" si="3"/>
        <v>89.31631692259144</v>
      </c>
      <c r="I23" s="156">
        <f t="shared" si="4"/>
        <v>-313387.08999999997</v>
      </c>
      <c r="J23" s="156">
        <f t="shared" si="5"/>
        <v>21.87395311396477</v>
      </c>
      <c r="K23" s="156">
        <v>78944.09</v>
      </c>
      <c r="L23" s="159">
        <f t="shared" si="1"/>
        <v>8798.919999999998</v>
      </c>
      <c r="M23" s="207">
        <f t="shared" si="2"/>
        <v>1.1114576151298976</v>
      </c>
      <c r="N23" s="155">
        <f>E23-лютий!E20</f>
        <v>22314</v>
      </c>
      <c r="O23" s="158">
        <f>F23-лютий!F20</f>
        <v>8635.759999999995</v>
      </c>
      <c r="P23" s="159">
        <f t="shared" si="6"/>
        <v>-13678.240000000005</v>
      </c>
      <c r="Q23" s="156">
        <f t="shared" si="7"/>
        <v>38.70108452092854</v>
      </c>
      <c r="R23" s="106"/>
      <c r="S23" s="107"/>
      <c r="T23" s="145"/>
      <c r="U23" s="239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35617.5</v>
      </c>
      <c r="G24" s="148">
        <f t="shared" si="0"/>
        <v>-12223.300000000003</v>
      </c>
      <c r="H24" s="155">
        <f t="shared" si="3"/>
        <v>74.45005100249159</v>
      </c>
      <c r="I24" s="156">
        <f t="shared" si="4"/>
        <v>-171003.5</v>
      </c>
      <c r="J24" s="156">
        <f t="shared" si="5"/>
        <v>17.238083253880294</v>
      </c>
      <c r="K24" s="156">
        <v>40388.11</v>
      </c>
      <c r="L24" s="159">
        <f t="shared" si="1"/>
        <v>-4770.610000000001</v>
      </c>
      <c r="M24" s="207">
        <f t="shared" si="2"/>
        <v>0.8818808307692536</v>
      </c>
      <c r="N24" s="155">
        <f>E24-лютий!E21</f>
        <v>15760.000000000004</v>
      </c>
      <c r="O24" s="158">
        <f>F24-лютий!F21</f>
        <v>4162.450000000001</v>
      </c>
      <c r="P24" s="159">
        <f t="shared" si="6"/>
        <v>-11597.550000000003</v>
      </c>
      <c r="Q24" s="156">
        <f t="shared" si="7"/>
        <v>26.4114847715736</v>
      </c>
      <c r="R24" s="106"/>
      <c r="S24" s="107"/>
      <c r="T24" s="145"/>
      <c r="U24" s="239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4537.64</v>
      </c>
      <c r="G25" s="169">
        <f t="shared" si="0"/>
        <v>-412.3599999999997</v>
      </c>
      <c r="H25" s="171">
        <f t="shared" si="3"/>
        <v>91.66949494949496</v>
      </c>
      <c r="I25" s="172">
        <f t="shared" si="4"/>
        <v>-18271.36</v>
      </c>
      <c r="J25" s="172">
        <f t="shared" si="5"/>
        <v>19.89407689946951</v>
      </c>
      <c r="K25" s="173">
        <v>4194.89</v>
      </c>
      <c r="L25" s="164">
        <f t="shared" si="1"/>
        <v>342.75</v>
      </c>
      <c r="M25" s="213">
        <f t="shared" si="2"/>
        <v>1.081706552496013</v>
      </c>
      <c r="N25" s="193">
        <f>E25-лютий!E22</f>
        <v>575</v>
      </c>
      <c r="O25" s="177">
        <f>F25-лютий!F22</f>
        <v>129.4300000000003</v>
      </c>
      <c r="P25" s="175">
        <f t="shared" si="6"/>
        <v>-445.5699999999997</v>
      </c>
      <c r="Q25" s="172">
        <f t="shared" si="7"/>
        <v>22.509565217391355</v>
      </c>
      <c r="R25" s="106"/>
      <c r="S25" s="107"/>
      <c r="T25" s="145">
        <v>374</v>
      </c>
      <c r="U25" s="239">
        <f t="shared" si="8"/>
        <v>-244.5699999999997</v>
      </c>
    </row>
    <row r="26" spans="1:21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152.79</v>
      </c>
      <c r="G26" s="196">
        <f t="shared" si="0"/>
        <v>-97.21000000000001</v>
      </c>
      <c r="H26" s="197">
        <f t="shared" si="3"/>
        <v>61.11599999999999</v>
      </c>
      <c r="I26" s="198">
        <f t="shared" si="4"/>
        <v>-1669.51</v>
      </c>
      <c r="J26" s="198">
        <f t="shared" si="5"/>
        <v>8.384459199912198</v>
      </c>
      <c r="K26" s="198">
        <v>156.42</v>
      </c>
      <c r="L26" s="198">
        <f t="shared" si="1"/>
        <v>-3.6299999999999955</v>
      </c>
      <c r="M26" s="226">
        <f t="shared" si="2"/>
        <v>0.9767932489451477</v>
      </c>
      <c r="N26" s="234">
        <f>E26-лютий!E23</f>
        <v>55</v>
      </c>
      <c r="O26" s="234">
        <f>F26-лютий!F23</f>
        <v>2.5600000000000023</v>
      </c>
      <c r="P26" s="198">
        <f t="shared" si="6"/>
        <v>-52.44</v>
      </c>
      <c r="Q26" s="198">
        <f t="shared" si="7"/>
        <v>4.654545454545459</v>
      </c>
      <c r="R26" s="106"/>
      <c r="S26" s="107"/>
      <c r="T26" s="145"/>
      <c r="U26" s="239">
        <f t="shared" si="8"/>
        <v>2.5600000000000023</v>
      </c>
    </row>
    <row r="27" spans="1:21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4384.86</v>
      </c>
      <c r="G27" s="196">
        <f t="shared" si="0"/>
        <v>-315.1400000000003</v>
      </c>
      <c r="H27" s="197">
        <f t="shared" si="3"/>
        <v>93.29489361702127</v>
      </c>
      <c r="I27" s="198">
        <f t="shared" si="4"/>
        <v>-16601.84</v>
      </c>
      <c r="J27" s="198">
        <f t="shared" si="5"/>
        <v>20.893518275860423</v>
      </c>
      <c r="K27" s="198">
        <v>4038.47</v>
      </c>
      <c r="L27" s="198">
        <f t="shared" si="1"/>
        <v>346.3899999999999</v>
      </c>
      <c r="M27" s="226">
        <f t="shared" si="2"/>
        <v>1.0857725821907802</v>
      </c>
      <c r="N27" s="234">
        <f>E27-лютий!E24</f>
        <v>520</v>
      </c>
      <c r="O27" s="234">
        <f>F27-лютий!F24</f>
        <v>126.88000000000011</v>
      </c>
      <c r="P27" s="198">
        <f t="shared" si="6"/>
        <v>-393.1199999999999</v>
      </c>
      <c r="Q27" s="198">
        <f t="shared" si="7"/>
        <v>24.40000000000002</v>
      </c>
      <c r="R27" s="106"/>
      <c r="S27" s="107"/>
      <c r="T27" s="145"/>
      <c r="U27" s="239">
        <f t="shared" si="8"/>
        <v>126.88000000000011</v>
      </c>
    </row>
    <row r="28" spans="1:21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54.17</v>
      </c>
      <c r="G28" s="169">
        <f t="shared" si="0"/>
        <v>-1.6299999999999955</v>
      </c>
      <c r="H28" s="171">
        <f t="shared" si="3"/>
        <v>97.07885304659499</v>
      </c>
      <c r="I28" s="172">
        <f t="shared" si="4"/>
        <v>-765.83</v>
      </c>
      <c r="J28" s="172">
        <f t="shared" si="5"/>
        <v>6.60609756097561</v>
      </c>
      <c r="K28" s="172">
        <v>313.88</v>
      </c>
      <c r="L28" s="172">
        <f t="shared" si="1"/>
        <v>-259.71</v>
      </c>
      <c r="M28" s="210">
        <f t="shared" si="2"/>
        <v>0.17258187842487577</v>
      </c>
      <c r="N28" s="193">
        <f>E28-лютий!E25</f>
        <v>5</v>
      </c>
      <c r="O28" s="177">
        <f>F28-лютий!F25</f>
        <v>-25</v>
      </c>
      <c r="P28" s="175">
        <f t="shared" si="6"/>
        <v>-30</v>
      </c>
      <c r="Q28" s="172">
        <f>O28/N28*100</f>
        <v>-500</v>
      </c>
      <c r="R28" s="106"/>
      <c r="S28" s="107"/>
      <c r="T28" s="145">
        <v>0</v>
      </c>
      <c r="U28" s="239">
        <f t="shared" si="8"/>
        <v>-25</v>
      </c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31025.69</v>
      </c>
      <c r="G29" s="169">
        <f t="shared" si="0"/>
        <v>-11809.310000000001</v>
      </c>
      <c r="H29" s="171">
        <f t="shared" si="3"/>
        <v>72.43069919458387</v>
      </c>
      <c r="I29" s="172">
        <f t="shared" si="4"/>
        <v>-151966.31</v>
      </c>
      <c r="J29" s="172">
        <f t="shared" si="5"/>
        <v>16.954670149514733</v>
      </c>
      <c r="K29" s="173">
        <v>35879.34</v>
      </c>
      <c r="L29" s="173">
        <f t="shared" si="1"/>
        <v>-4853.649999999998</v>
      </c>
      <c r="M29" s="209">
        <f t="shared" si="2"/>
        <v>0.8647229854283831</v>
      </c>
      <c r="N29" s="193">
        <f>E29-лютий!E26</f>
        <v>15180</v>
      </c>
      <c r="O29" s="177">
        <f>F29-лютий!F26</f>
        <v>4058.0200000000004</v>
      </c>
      <c r="P29" s="175">
        <f t="shared" si="6"/>
        <v>-11121.98</v>
      </c>
      <c r="Q29" s="172">
        <f>O29/N29*100</f>
        <v>26.73267457180501</v>
      </c>
      <c r="R29" s="106"/>
      <c r="S29" s="107"/>
      <c r="T29" s="145">
        <v>15224</v>
      </c>
      <c r="U29" s="239">
        <f t="shared" si="8"/>
        <v>-11165.98</v>
      </c>
    </row>
    <row r="30" spans="1:21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9774.01</v>
      </c>
      <c r="G30" s="196">
        <f t="shared" si="0"/>
        <v>-3055.99</v>
      </c>
      <c r="H30" s="197">
        <f t="shared" si="3"/>
        <v>76.1809041309431</v>
      </c>
      <c r="I30" s="198">
        <f t="shared" si="4"/>
        <v>-47758.99</v>
      </c>
      <c r="J30" s="198">
        <f t="shared" si="5"/>
        <v>16.988528322875567</v>
      </c>
      <c r="K30" s="198">
        <v>10893.12</v>
      </c>
      <c r="L30" s="198">
        <f t="shared" si="1"/>
        <v>-1119.1100000000006</v>
      </c>
      <c r="M30" s="226">
        <f t="shared" si="2"/>
        <v>0.897264511912106</v>
      </c>
      <c r="N30" s="234">
        <f>E30-лютий!E27</f>
        <v>4650</v>
      </c>
      <c r="O30" s="234">
        <f>F30-лютий!F27</f>
        <v>914.8000000000011</v>
      </c>
      <c r="P30" s="198">
        <f t="shared" si="6"/>
        <v>-3735.199999999999</v>
      </c>
      <c r="Q30" s="198">
        <f>O30/N30*100</f>
        <v>19.673118279569916</v>
      </c>
      <c r="R30" s="106"/>
      <c r="S30" s="107"/>
      <c r="T30" s="145"/>
      <c r="U30" s="239">
        <f t="shared" si="8"/>
        <v>914.8000000000011</v>
      </c>
    </row>
    <row r="31" spans="1:21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21251.68</v>
      </c>
      <c r="G31" s="196">
        <f t="shared" si="0"/>
        <v>-8753.32</v>
      </c>
      <c r="H31" s="197">
        <f t="shared" si="3"/>
        <v>70.8271288118647</v>
      </c>
      <c r="I31" s="198">
        <f t="shared" si="4"/>
        <v>-104207.32</v>
      </c>
      <c r="J31" s="198">
        <f t="shared" si="5"/>
        <v>16.9391434651958</v>
      </c>
      <c r="K31" s="198">
        <v>24986.12</v>
      </c>
      <c r="L31" s="198">
        <f t="shared" si="1"/>
        <v>-3734.4399999999987</v>
      </c>
      <c r="M31" s="226">
        <f t="shared" si="2"/>
        <v>0.8505394194856986</v>
      </c>
      <c r="N31" s="234">
        <f>E31-лютий!E28</f>
        <v>10530</v>
      </c>
      <c r="O31" s="234">
        <f>F31-лютий!F28</f>
        <v>3143.220000000001</v>
      </c>
      <c r="P31" s="198">
        <f t="shared" si="6"/>
        <v>-7386.779999999999</v>
      </c>
      <c r="Q31" s="198">
        <f>O31/N31*100</f>
        <v>29.850142450142464</v>
      </c>
      <c r="R31" s="106"/>
      <c r="S31" s="107"/>
      <c r="T31" s="145"/>
      <c r="U31" s="239">
        <f t="shared" si="8"/>
        <v>3143.220000000001</v>
      </c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39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34.2</v>
      </c>
      <c r="G33" s="148">
        <f t="shared" si="0"/>
        <v>15.200000000000003</v>
      </c>
      <c r="H33" s="155">
        <f t="shared" si="3"/>
        <v>180</v>
      </c>
      <c r="I33" s="156">
        <f t="shared" si="4"/>
        <v>-80.8</v>
      </c>
      <c r="J33" s="156">
        <f t="shared" si="5"/>
        <v>29.739130434782613</v>
      </c>
      <c r="K33" s="156">
        <v>24.81</v>
      </c>
      <c r="L33" s="156">
        <f t="shared" si="1"/>
        <v>9.390000000000004</v>
      </c>
      <c r="M33" s="208">
        <f>F33/K33</f>
        <v>1.3784764207980655</v>
      </c>
      <c r="N33" s="155">
        <f>E33-лютий!E30</f>
        <v>4</v>
      </c>
      <c r="O33" s="158">
        <f>F33-лютий!F30</f>
        <v>0</v>
      </c>
      <c r="P33" s="159">
        <f t="shared" si="6"/>
        <v>-4</v>
      </c>
      <c r="Q33" s="156">
        <f>O33/N33*100</f>
        <v>0</v>
      </c>
      <c r="R33" s="106"/>
      <c r="S33" s="107"/>
      <c r="T33" s="145">
        <v>4.5</v>
      </c>
      <c r="U33" s="239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-18.99</v>
      </c>
      <c r="G34" s="148">
        <f t="shared" si="0"/>
        <v>-18.99</v>
      </c>
      <c r="H34" s="155"/>
      <c r="I34" s="156">
        <f t="shared" si="4"/>
        <v>-18.99</v>
      </c>
      <c r="J34" s="156"/>
      <c r="K34" s="156">
        <v>-81.54</v>
      </c>
      <c r="L34" s="156">
        <f t="shared" si="1"/>
        <v>62.55000000000001</v>
      </c>
      <c r="M34" s="208">
        <f>F34/K34</f>
        <v>0.23289183222958054</v>
      </c>
      <c r="N34" s="155">
        <f>E34-лютий!E31</f>
        <v>0</v>
      </c>
      <c r="O34" s="158">
        <f>F34-лютий!F31</f>
        <v>-8.229999999999999</v>
      </c>
      <c r="P34" s="159">
        <f t="shared" si="6"/>
        <v>-8.229999999999999</v>
      </c>
      <c r="Q34" s="156" t="e">
        <f>O34/N34*100</f>
        <v>#DIV/0!</v>
      </c>
      <c r="R34" s="106"/>
      <c r="S34" s="107"/>
      <c r="T34" s="145"/>
      <c r="U34" s="239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50378.7</v>
      </c>
      <c r="F35" s="161">
        <v>52110.1</v>
      </c>
      <c r="G35" s="160">
        <f t="shared" si="0"/>
        <v>1731.4000000000015</v>
      </c>
      <c r="H35" s="162">
        <f t="shared" si="3"/>
        <v>103.43676990474148</v>
      </c>
      <c r="I35" s="163">
        <f t="shared" si="4"/>
        <v>-142284</v>
      </c>
      <c r="J35" s="163">
        <f t="shared" si="5"/>
        <v>26.806420565233203</v>
      </c>
      <c r="K35" s="176">
        <v>38612.71</v>
      </c>
      <c r="L35" s="176">
        <f>F35-K35</f>
        <v>13497.39</v>
      </c>
      <c r="M35" s="224">
        <f>F35/K35</f>
        <v>1.3495582154166335</v>
      </c>
      <c r="N35" s="155">
        <f>E35-лютий!E32</f>
        <v>6550</v>
      </c>
      <c r="O35" s="158">
        <f>F35-лютий!F32</f>
        <v>4481.540000000001</v>
      </c>
      <c r="P35" s="165">
        <f t="shared" si="6"/>
        <v>-2068.459999999999</v>
      </c>
      <c r="Q35" s="163">
        <f>O35/N35*100</f>
        <v>68.4204580152672</v>
      </c>
      <c r="R35" s="106"/>
      <c r="S35" s="107"/>
      <c r="T35" s="145">
        <v>6650</v>
      </c>
      <c r="U35" s="239">
        <f t="shared" si="8"/>
        <v>-2168.459999999999</v>
      </c>
    </row>
    <row r="36" spans="1:21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</row>
    <row r="37" spans="1:21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v>10160</v>
      </c>
      <c r="F37" s="138">
        <v>10185.4</v>
      </c>
      <c r="G37" s="102">
        <f t="shared" si="0"/>
        <v>25.399999999999636</v>
      </c>
      <c r="H37" s="104">
        <f t="shared" si="3"/>
        <v>100.25</v>
      </c>
      <c r="I37" s="103">
        <f t="shared" si="4"/>
        <v>-30814.6</v>
      </c>
      <c r="J37" s="103">
        <f t="shared" si="5"/>
        <v>24.84243902439024</v>
      </c>
      <c r="K37" s="126">
        <v>9812.49</v>
      </c>
      <c r="L37" s="126">
        <f t="shared" si="1"/>
        <v>372.90999999999985</v>
      </c>
      <c r="M37" s="214">
        <f t="shared" si="9"/>
        <v>1.03800360560877</v>
      </c>
      <c r="N37" s="104">
        <f>E37-лютий!E34</f>
        <v>1050</v>
      </c>
      <c r="O37" s="142">
        <f>F37-лютий!F34</f>
        <v>429.4499999999989</v>
      </c>
      <c r="P37" s="105">
        <f t="shared" si="6"/>
        <v>-620.5500000000011</v>
      </c>
      <c r="Q37" s="103">
        <f>O37/N37*100</f>
        <v>40.8999999999999</v>
      </c>
      <c r="R37" s="106"/>
      <c r="S37" s="107"/>
      <c r="T37" s="145"/>
      <c r="U37" s="239">
        <f t="shared" si="8"/>
        <v>429.4499999999989</v>
      </c>
    </row>
    <row r="38" spans="1:21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v>40200</v>
      </c>
      <c r="F38" s="138">
        <v>41908.58</v>
      </c>
      <c r="G38" s="102">
        <f t="shared" si="0"/>
        <v>1708.5800000000017</v>
      </c>
      <c r="H38" s="104">
        <f t="shared" si="3"/>
        <v>104.25019900497512</v>
      </c>
      <c r="I38" s="103">
        <f t="shared" si="4"/>
        <v>-111430.52</v>
      </c>
      <c r="J38" s="103">
        <f t="shared" si="5"/>
        <v>27.330654738419618</v>
      </c>
      <c r="K38" s="126">
        <v>28792.38</v>
      </c>
      <c r="L38" s="126">
        <f t="shared" si="1"/>
        <v>13116.2</v>
      </c>
      <c r="M38" s="214">
        <f t="shared" si="9"/>
        <v>1.4555441404982847</v>
      </c>
      <c r="N38" s="104">
        <f>E38-лютий!E35</f>
        <v>5500</v>
      </c>
      <c r="O38" s="142">
        <f>F38-лютий!F35</f>
        <v>4052.0800000000017</v>
      </c>
      <c r="P38" s="105">
        <f t="shared" si="6"/>
        <v>-1447.9199999999983</v>
      </c>
      <c r="Q38" s="103">
        <f>O38/N38*100</f>
        <v>73.67418181818185</v>
      </c>
      <c r="R38" s="106"/>
      <c r="S38" s="107"/>
      <c r="T38" s="145"/>
      <c r="U38" s="239">
        <f t="shared" si="8"/>
        <v>4052.0800000000017</v>
      </c>
    </row>
    <row r="39" spans="1:21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39">
        <f t="shared" si="8"/>
        <v>0</v>
      </c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39">
        <f t="shared" si="8"/>
        <v>0</v>
      </c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12913.7</v>
      </c>
      <c r="F41" s="149">
        <f>F42+F43+F44+F45+F46+F48+F50+F51+F52+F53+F54+F59+F60+F64+F47</f>
        <v>12830.08</v>
      </c>
      <c r="G41" s="149">
        <f>G42+G43+G44+G45+G46+G48+G50+G51+G52+G53+G54+G59+G60+G64</f>
        <v>-56.93000000000005</v>
      </c>
      <c r="H41" s="150">
        <f>F41/E41*100</f>
        <v>99.3524706319645</v>
      </c>
      <c r="I41" s="151">
        <f>F41-D41</f>
        <v>-46194.92</v>
      </c>
      <c r="J41" s="151">
        <f>F41/D41*100</f>
        <v>21.736687844133844</v>
      </c>
      <c r="K41" s="149">
        <v>10672.26</v>
      </c>
      <c r="L41" s="149">
        <f t="shared" si="1"/>
        <v>2157.8199999999997</v>
      </c>
      <c r="M41" s="203">
        <f t="shared" si="9"/>
        <v>1.2021896018275418</v>
      </c>
      <c r="N41" s="149">
        <f>N42+N43+N44+N45+N46+N48+N50+N51+N52+N53+N54+N59+N60+N64+N47</f>
        <v>5139.6</v>
      </c>
      <c r="O41" s="149">
        <f>O42+O43+O44+O45+O46+O48+O50+O51+O52+O53+O54+O59+O60+O64+O47</f>
        <v>4138.450000000001</v>
      </c>
      <c r="P41" s="149">
        <f>P42+P43+P44+P45+P46+P48+P50+P51+P52+P53+P54+P59+P60+P64</f>
        <v>-988.0599999999997</v>
      </c>
      <c r="Q41" s="149">
        <f>O41/N41*100</f>
        <v>80.52085765429217</v>
      </c>
      <c r="R41" s="15" t="e">
        <f>#N/A</f>
        <v>#N/A</v>
      </c>
      <c r="S41" s="15" t="e">
        <f>#N/A</f>
        <v>#N/A</v>
      </c>
      <c r="T41" s="145"/>
      <c r="U41" s="239"/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39">
        <f t="shared" si="8"/>
        <v>0</v>
      </c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39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62.08</v>
      </c>
      <c r="G44" s="160">
        <f t="shared" si="12"/>
        <v>43.08</v>
      </c>
      <c r="H44" s="162">
        <f>F44/E44*100</f>
        <v>326.7368421052632</v>
      </c>
      <c r="I44" s="163">
        <f t="shared" si="13"/>
        <v>22.08</v>
      </c>
      <c r="J44" s="163">
        <f aca="true" t="shared" si="15" ref="J44:J65">F44/D44*100</f>
        <v>155.20000000000002</v>
      </c>
      <c r="K44" s="163">
        <v>26.96</v>
      </c>
      <c r="L44" s="163">
        <f t="shared" si="1"/>
        <v>35.12</v>
      </c>
      <c r="M44" s="216">
        <f aca="true" t="shared" si="16" ref="M44:M66">F44/K44</f>
        <v>2.3026706231454006</v>
      </c>
      <c r="N44" s="162">
        <f>E44-лютий!E41</f>
        <v>3</v>
      </c>
      <c r="O44" s="166">
        <f>F44-лютий!F41</f>
        <v>5</v>
      </c>
      <c r="P44" s="165">
        <f t="shared" si="14"/>
        <v>2</v>
      </c>
      <c r="Q44" s="163">
        <f t="shared" si="11"/>
        <v>166.66666666666669</v>
      </c>
      <c r="R44" s="36"/>
      <c r="S44" s="93"/>
      <c r="T44" s="145"/>
      <c r="U44" s="239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39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238.77</v>
      </c>
      <c r="G46" s="160">
        <f t="shared" si="12"/>
        <v>176.77</v>
      </c>
      <c r="H46" s="162">
        <f t="shared" si="10"/>
        <v>385.11290322580646</v>
      </c>
      <c r="I46" s="163">
        <f t="shared" si="13"/>
        <v>-21.22999999999999</v>
      </c>
      <c r="J46" s="163">
        <f t="shared" si="15"/>
        <v>91.83461538461539</v>
      </c>
      <c r="K46" s="163">
        <v>20.4</v>
      </c>
      <c r="L46" s="163">
        <f t="shared" si="1"/>
        <v>218.37</v>
      </c>
      <c r="M46" s="216">
        <f t="shared" si="16"/>
        <v>11.704411764705883</v>
      </c>
      <c r="N46" s="162">
        <f>E46-лютий!E43</f>
        <v>22</v>
      </c>
      <c r="O46" s="166">
        <f>F46-лютий!F43</f>
        <v>156.69</v>
      </c>
      <c r="P46" s="165">
        <f t="shared" si="14"/>
        <v>134.69</v>
      </c>
      <c r="Q46" s="163">
        <f t="shared" si="11"/>
        <v>712.2272727272727</v>
      </c>
      <c r="R46" s="36"/>
      <c r="S46" s="93"/>
      <c r="T46" s="145"/>
      <c r="U46" s="239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39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180</v>
      </c>
      <c r="F48" s="154">
        <v>246.11</v>
      </c>
      <c r="G48" s="160">
        <f t="shared" si="12"/>
        <v>66.11000000000001</v>
      </c>
      <c r="H48" s="162">
        <f t="shared" si="10"/>
        <v>136.7277777777778</v>
      </c>
      <c r="I48" s="163">
        <f t="shared" si="13"/>
        <v>-483.89</v>
      </c>
      <c r="J48" s="163">
        <f t="shared" si="15"/>
        <v>33.71369863013699</v>
      </c>
      <c r="K48" s="163">
        <v>0</v>
      </c>
      <c r="L48" s="163">
        <f t="shared" si="1"/>
        <v>246.11</v>
      </c>
      <c r="M48" s="216"/>
      <c r="N48" s="162">
        <f>E48-лютий!E45</f>
        <v>60</v>
      </c>
      <c r="O48" s="166">
        <f>F48-лютий!F45</f>
        <v>53.72000000000003</v>
      </c>
      <c r="P48" s="165">
        <f t="shared" si="14"/>
        <v>-6.279999999999973</v>
      </c>
      <c r="Q48" s="163">
        <f t="shared" si="11"/>
        <v>89.53333333333337</v>
      </c>
      <c r="R48" s="36"/>
      <c r="S48" s="93"/>
      <c r="T48" s="145"/>
      <c r="U48" s="239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39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2300</v>
      </c>
      <c r="F50" s="154">
        <v>2857.39</v>
      </c>
      <c r="G50" s="160">
        <f t="shared" si="12"/>
        <v>557.3899999999999</v>
      </c>
      <c r="H50" s="162">
        <f t="shared" si="10"/>
        <v>124.23434782608696</v>
      </c>
      <c r="I50" s="163">
        <f t="shared" si="13"/>
        <v>-8142.610000000001</v>
      </c>
      <c r="J50" s="163">
        <f t="shared" si="15"/>
        <v>25.976272727272725</v>
      </c>
      <c r="K50" s="163">
        <v>2339.58</v>
      </c>
      <c r="L50" s="163">
        <f t="shared" si="1"/>
        <v>517.81</v>
      </c>
      <c r="M50" s="216">
        <f t="shared" si="16"/>
        <v>1.2213260499747818</v>
      </c>
      <c r="N50" s="162">
        <f>E50-лютий!E47</f>
        <v>900</v>
      </c>
      <c r="O50" s="166">
        <f>F50-лютий!F47</f>
        <v>713.6700000000001</v>
      </c>
      <c r="P50" s="165">
        <f t="shared" si="14"/>
        <v>-186.32999999999993</v>
      </c>
      <c r="Q50" s="163">
        <f t="shared" si="11"/>
        <v>79.29666666666667</v>
      </c>
      <c r="R50" s="36"/>
      <c r="S50" s="93"/>
      <c r="T50" s="145"/>
      <c r="U50" s="239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109.82</v>
      </c>
      <c r="G51" s="160">
        <f t="shared" si="12"/>
        <v>34.81999999999999</v>
      </c>
      <c r="H51" s="162">
        <f t="shared" si="10"/>
        <v>146.42666666666665</v>
      </c>
      <c r="I51" s="163">
        <f t="shared" si="13"/>
        <v>-200.18</v>
      </c>
      <c r="J51" s="163">
        <f t="shared" si="15"/>
        <v>35.4258064516129</v>
      </c>
      <c r="K51" s="163">
        <v>1.2</v>
      </c>
      <c r="L51" s="163">
        <f t="shared" si="1"/>
        <v>108.61999999999999</v>
      </c>
      <c r="M51" s="216"/>
      <c r="N51" s="162">
        <f>E51-лютий!E48</f>
        <v>25</v>
      </c>
      <c r="O51" s="166">
        <f>F51-лютий!F48</f>
        <v>19.379999999999995</v>
      </c>
      <c r="P51" s="165">
        <f t="shared" si="14"/>
        <v>-5.6200000000000045</v>
      </c>
      <c r="Q51" s="163">
        <f t="shared" si="11"/>
        <v>77.51999999999998</v>
      </c>
      <c r="R51" s="36"/>
      <c r="S51" s="93"/>
      <c r="T51" s="145"/>
      <c r="U51" s="239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1.6</v>
      </c>
      <c r="G52" s="160">
        <f t="shared" si="12"/>
        <v>-1.4</v>
      </c>
      <c r="H52" s="162">
        <f t="shared" si="10"/>
        <v>53.333333333333336</v>
      </c>
      <c r="I52" s="163">
        <f t="shared" si="13"/>
        <v>-18.4</v>
      </c>
      <c r="J52" s="163">
        <f t="shared" si="15"/>
        <v>8</v>
      </c>
      <c r="K52" s="163">
        <v>0</v>
      </c>
      <c r="L52" s="163">
        <f t="shared" si="1"/>
        <v>1.6</v>
      </c>
      <c r="M52" s="216"/>
      <c r="N52" s="162">
        <f>E52-лютий!E49</f>
        <v>1</v>
      </c>
      <c r="O52" s="166">
        <f>F52-лютий!F49</f>
        <v>1.6</v>
      </c>
      <c r="P52" s="165">
        <f t="shared" si="14"/>
        <v>0.6000000000000001</v>
      </c>
      <c r="Q52" s="163">
        <f t="shared" si="11"/>
        <v>160</v>
      </c>
      <c r="R52" s="36"/>
      <c r="S52" s="93"/>
      <c r="T52" s="145"/>
      <c r="U52" s="239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39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125.54</v>
      </c>
      <c r="G54" s="160">
        <f t="shared" si="12"/>
        <v>-109.46</v>
      </c>
      <c r="H54" s="162">
        <f t="shared" si="10"/>
        <v>53.42127659574468</v>
      </c>
      <c r="I54" s="163">
        <f t="shared" si="13"/>
        <v>-1074.46</v>
      </c>
      <c r="J54" s="163">
        <f t="shared" si="15"/>
        <v>10.461666666666668</v>
      </c>
      <c r="K54" s="163">
        <v>1500.1</v>
      </c>
      <c r="L54" s="163">
        <f t="shared" si="1"/>
        <v>-1374.56</v>
      </c>
      <c r="M54" s="216">
        <f t="shared" si="16"/>
        <v>0.08368775414972336</v>
      </c>
      <c r="N54" s="162">
        <f>E54-лютий!E51</f>
        <v>95</v>
      </c>
      <c r="O54" s="166">
        <f>F54-лютий!F51</f>
        <v>36.49000000000001</v>
      </c>
      <c r="P54" s="165">
        <f t="shared" si="14"/>
        <v>-58.50999999999999</v>
      </c>
      <c r="Q54" s="163">
        <f t="shared" si="11"/>
        <v>38.41052631578948</v>
      </c>
      <c r="R54" s="36"/>
      <c r="S54" s="93"/>
      <c r="T54" s="145"/>
      <c r="U54" s="239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105.42</v>
      </c>
      <c r="G55" s="33">
        <f t="shared" si="12"/>
        <v>-84.58</v>
      </c>
      <c r="H55" s="29">
        <f t="shared" si="10"/>
        <v>55.48421052631579</v>
      </c>
      <c r="I55" s="103">
        <f t="shared" si="13"/>
        <v>-892.58</v>
      </c>
      <c r="J55" s="103">
        <f t="shared" si="15"/>
        <v>10.563126252505011</v>
      </c>
      <c r="K55" s="103">
        <v>163.68</v>
      </c>
      <c r="L55" s="103">
        <f>F55-K55</f>
        <v>-58.260000000000005</v>
      </c>
      <c r="M55" s="108">
        <f t="shared" si="16"/>
        <v>0.6440615835777126</v>
      </c>
      <c r="N55" s="104">
        <f>E55-лютий!E52</f>
        <v>80</v>
      </c>
      <c r="O55" s="142">
        <f>F55-лютий!F52</f>
        <v>31.710000000000008</v>
      </c>
      <c r="P55" s="105">
        <f t="shared" si="14"/>
        <v>-48.28999999999999</v>
      </c>
      <c r="Q55" s="118">
        <f t="shared" si="11"/>
        <v>39.63750000000001</v>
      </c>
      <c r="R55" s="36"/>
      <c r="S55" s="93"/>
      <c r="T55" s="145"/>
      <c r="U55" s="239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39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39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20.02</v>
      </c>
      <c r="G58" s="33">
        <f t="shared" si="12"/>
        <v>-24.98</v>
      </c>
      <c r="H58" s="29">
        <f t="shared" si="10"/>
        <v>44.48888888888889</v>
      </c>
      <c r="I58" s="103">
        <f t="shared" si="13"/>
        <v>-179.98</v>
      </c>
      <c r="J58" s="103">
        <f t="shared" si="15"/>
        <v>10.01</v>
      </c>
      <c r="K58" s="103">
        <v>1336.3</v>
      </c>
      <c r="L58" s="103">
        <f>F58-K58</f>
        <v>-1316.28</v>
      </c>
      <c r="M58" s="108">
        <f t="shared" si="16"/>
        <v>0.01498166579360922</v>
      </c>
      <c r="N58" s="104">
        <f>E58-лютий!E55</f>
        <v>15</v>
      </c>
      <c r="O58" s="142">
        <f>F58-лютий!F55</f>
        <v>4.779999999999999</v>
      </c>
      <c r="P58" s="105">
        <f t="shared" si="14"/>
        <v>-10.22</v>
      </c>
      <c r="Q58" s="118">
        <f t="shared" si="11"/>
        <v>31.86666666666666</v>
      </c>
      <c r="R58" s="36"/>
      <c r="S58" s="93"/>
      <c r="T58" s="145"/>
      <c r="U58" s="239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1.67</v>
      </c>
      <c r="G59" s="160">
        <f t="shared" si="12"/>
        <v>-0.8300000000000001</v>
      </c>
      <c r="H59" s="162"/>
      <c r="I59" s="163">
        <f t="shared" si="13"/>
        <v>-0.8300000000000001</v>
      </c>
      <c r="J59" s="163">
        <f t="shared" si="15"/>
        <v>66.8</v>
      </c>
      <c r="K59" s="163">
        <v>2.46</v>
      </c>
      <c r="L59" s="163">
        <f>F59-K59</f>
        <v>-0.79</v>
      </c>
      <c r="M59" s="216">
        <f t="shared" si="16"/>
        <v>0.6788617886178862</v>
      </c>
      <c r="N59" s="162">
        <f>E59-лютий!E56</f>
        <v>0</v>
      </c>
      <c r="O59" s="166">
        <f>F59-лютий!F56</f>
        <v>0</v>
      </c>
      <c r="P59" s="165">
        <f t="shared" si="14"/>
        <v>0</v>
      </c>
      <c r="Q59" s="163"/>
      <c r="R59" s="36"/>
      <c r="S59" s="93"/>
      <c r="T59" s="145"/>
      <c r="U59" s="239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2800</v>
      </c>
      <c r="F60" s="154">
        <v>3011.56</v>
      </c>
      <c r="G60" s="160">
        <f t="shared" si="12"/>
        <v>211.55999999999995</v>
      </c>
      <c r="H60" s="162">
        <f t="shared" si="10"/>
        <v>107.55571428571429</v>
      </c>
      <c r="I60" s="163">
        <f t="shared" si="13"/>
        <v>-4338.4400000000005</v>
      </c>
      <c r="J60" s="163">
        <f t="shared" si="15"/>
        <v>40.97360544217687</v>
      </c>
      <c r="K60" s="163">
        <v>1114.84</v>
      </c>
      <c r="L60" s="163">
        <f aca="true" t="shared" si="17" ref="L60:L66">F60-K60</f>
        <v>1896.72</v>
      </c>
      <c r="M60" s="216">
        <f t="shared" si="16"/>
        <v>2.701338308636217</v>
      </c>
      <c r="N60" s="162">
        <f>E60-лютий!E57</f>
        <v>600</v>
      </c>
      <c r="O60" s="166">
        <f>F60-лютий!F57</f>
        <v>300.1300000000001</v>
      </c>
      <c r="P60" s="165">
        <f t="shared" si="14"/>
        <v>-299.8699999999999</v>
      </c>
      <c r="Q60" s="163">
        <f t="shared" si="11"/>
        <v>50.02166666666669</v>
      </c>
      <c r="R60" s="36"/>
      <c r="S60" s="93"/>
      <c r="T60" s="145"/>
      <c r="U60" s="239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39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396.4</v>
      </c>
      <c r="G62" s="160"/>
      <c r="H62" s="162"/>
      <c r="I62" s="163"/>
      <c r="J62" s="163"/>
      <c r="K62" s="164">
        <v>230.44</v>
      </c>
      <c r="L62" s="163">
        <f t="shared" si="17"/>
        <v>165.95999999999998</v>
      </c>
      <c r="M62" s="216">
        <f t="shared" si="16"/>
        <v>1.720187467453567</v>
      </c>
      <c r="N62" s="193">
        <f>E62-лютий!E59</f>
        <v>0</v>
      </c>
      <c r="O62" s="177">
        <f>F62-лютий!F59</f>
        <v>111.07</v>
      </c>
      <c r="P62" s="164"/>
      <c r="Q62" s="163"/>
      <c r="R62" s="36"/>
      <c r="S62" s="93"/>
      <c r="T62" s="145"/>
      <c r="U62" s="239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39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39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39">
        <f>O65-T65</f>
        <v>5.37</v>
      </c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39"/>
    </row>
    <row r="67" spans="1:21" s="6" customFormat="1" ht="18">
      <c r="A67" s="9"/>
      <c r="B67" s="14" t="s">
        <v>28</v>
      </c>
      <c r="C67" s="61"/>
      <c r="D67" s="149">
        <f>D8+D41+D65+D66</f>
        <v>1357491.1</v>
      </c>
      <c r="E67" s="149">
        <f>E8+E41+E65+E66</f>
        <v>298356.9</v>
      </c>
      <c r="F67" s="149">
        <f>F8+F41+F65+F66</f>
        <v>256325.87999999998</v>
      </c>
      <c r="G67" s="149">
        <f>F67-E67</f>
        <v>-42031.02000000005</v>
      </c>
      <c r="H67" s="150">
        <f>F67/E67*100</f>
        <v>85.91250277771351</v>
      </c>
      <c r="I67" s="151">
        <f>F67-D67</f>
        <v>-1101165.2200000002</v>
      </c>
      <c r="J67" s="151">
        <f>F67/D67*100</f>
        <v>18.882324900693636</v>
      </c>
      <c r="K67" s="151">
        <v>220465.78</v>
      </c>
      <c r="L67" s="151">
        <f>F67-K67</f>
        <v>35860.09999999998</v>
      </c>
      <c r="M67" s="217">
        <f>F67/K67</f>
        <v>1.1626560820459302</v>
      </c>
      <c r="N67" s="149">
        <f>N8+N41+N65+N66</f>
        <v>94334.8</v>
      </c>
      <c r="O67" s="149">
        <f>O8+O41+O65+O66</f>
        <v>52799.50999999998</v>
      </c>
      <c r="P67" s="153">
        <f>O67-N67</f>
        <v>-41535.29000000002</v>
      </c>
      <c r="Q67" s="151">
        <f>O67/N67*100</f>
        <v>55.97034180387299</v>
      </c>
      <c r="R67" s="26">
        <f>O67-34768</f>
        <v>18031.50999999998</v>
      </c>
      <c r="S67" s="114">
        <f>O67/34768</f>
        <v>1.518623734468476</v>
      </c>
      <c r="T67" s="145"/>
      <c r="U67" s="239"/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0"/>
      <c r="U68" s="244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0"/>
      <c r="U69" s="244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0"/>
      <c r="U70" s="24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3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0.09</v>
      </c>
      <c r="G76" s="160">
        <f aca="true" t="shared" si="18" ref="G76:G87">F76-E76</f>
        <v>0.09</v>
      </c>
      <c r="H76" s="162"/>
      <c r="I76" s="165">
        <f aca="true" t="shared" si="19" ref="I76:I87">F76-D76</f>
        <v>-104205.94</v>
      </c>
      <c r="J76" s="165">
        <f>F76/D76*100</f>
        <v>8.636736281000245E-05</v>
      </c>
      <c r="K76" s="165">
        <v>0.15</v>
      </c>
      <c r="L76" s="165">
        <f aca="true" t="shared" si="20" ref="L76:L87">F76-K76</f>
        <v>-0.06</v>
      </c>
      <c r="M76" s="207">
        <f>F76/K76</f>
        <v>0.6</v>
      </c>
      <c r="N76" s="162">
        <f>E76-лютий!E73</f>
        <v>0</v>
      </c>
      <c r="O76" s="166">
        <f>F76-лютий!F73</f>
        <v>0.01999999999999999</v>
      </c>
      <c r="P76" s="165">
        <f aca="true" t="shared" si="21" ref="P76:P89">O76-N76</f>
        <v>0.01999999999999999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64.31</v>
      </c>
      <c r="G77" s="160">
        <f t="shared" si="18"/>
        <v>-4765.69</v>
      </c>
      <c r="H77" s="162">
        <f>F77/E77*100</f>
        <v>1.3314699792960663</v>
      </c>
      <c r="I77" s="165">
        <f t="shared" si="19"/>
        <v>-53935.69</v>
      </c>
      <c r="J77" s="165">
        <f>F77/D77*100</f>
        <v>0.1190925925925926</v>
      </c>
      <c r="K77" s="165">
        <v>318.64</v>
      </c>
      <c r="L77" s="165">
        <f t="shared" si="20"/>
        <v>-254.32999999999998</v>
      </c>
      <c r="M77" s="207">
        <f>F77/K77</f>
        <v>0.20182651267888527</v>
      </c>
      <c r="N77" s="162">
        <f>E77-лютий!E74</f>
        <v>3600</v>
      </c>
      <c r="O77" s="166">
        <f>F77-лютий!F74</f>
        <v>15.969999999999999</v>
      </c>
      <c r="P77" s="165">
        <f t="shared" si="21"/>
        <v>-3584.03</v>
      </c>
      <c r="Q77" s="165">
        <f>O77/N77*100</f>
        <v>0.4436111111111111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1281.64</v>
      </c>
      <c r="G80" s="183">
        <f t="shared" si="18"/>
        <v>-8201.36</v>
      </c>
      <c r="H80" s="184">
        <f>F80/E80*100</f>
        <v>13.51513234208584</v>
      </c>
      <c r="I80" s="185">
        <f t="shared" si="19"/>
        <v>-235936.38999999998</v>
      </c>
      <c r="J80" s="185">
        <f>F80/D80*100</f>
        <v>0.5402793371144682</v>
      </c>
      <c r="K80" s="185">
        <v>8278.87</v>
      </c>
      <c r="L80" s="185">
        <f t="shared" si="20"/>
        <v>-6997.2300000000005</v>
      </c>
      <c r="M80" s="212">
        <f>F80/K80</f>
        <v>0.15480856686963318</v>
      </c>
      <c r="N80" s="183">
        <f>N76+N77+N78+N79</f>
        <v>7451</v>
      </c>
      <c r="O80" s="187">
        <f>O76+O77+O78+O79</f>
        <v>128.6400000000001</v>
      </c>
      <c r="P80" s="185">
        <f t="shared" si="21"/>
        <v>-7322.36</v>
      </c>
      <c r="Q80" s="185">
        <f>O80/N80*100</f>
        <v>1.7264796671587719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2217.23</v>
      </c>
      <c r="G83" s="160">
        <f t="shared" si="18"/>
        <v>-139.07000000000016</v>
      </c>
      <c r="H83" s="162">
        <f>F83/E83*100</f>
        <v>94.09795017612358</v>
      </c>
      <c r="I83" s="165">
        <f t="shared" si="19"/>
        <v>-6142.77</v>
      </c>
      <c r="J83" s="165">
        <f>F83/D83*100</f>
        <v>26.52188995215311</v>
      </c>
      <c r="K83" s="165">
        <v>2019</v>
      </c>
      <c r="L83" s="165">
        <f t="shared" si="20"/>
        <v>198.23000000000002</v>
      </c>
      <c r="M83" s="207"/>
      <c r="N83" s="162">
        <f>E83-лютий!E80</f>
        <v>6.300000000000182</v>
      </c>
      <c r="O83" s="166">
        <f>F83-лютий!F80</f>
        <v>0</v>
      </c>
      <c r="P83" s="165">
        <f>O83-N83</f>
        <v>-6.300000000000182</v>
      </c>
      <c r="Q83" s="188">
        <f>O83/N83*100</f>
        <v>0</v>
      </c>
      <c r="R83" s="40"/>
      <c r="S83" s="98"/>
      <c r="T83" s="28">
        <v>3.8</v>
      </c>
      <c r="U83" s="243">
        <f>O83-T83</f>
        <v>-3.8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2226.04</v>
      </c>
      <c r="G85" s="181">
        <f>G81+G84+G82+G83</f>
        <v>-130.76000000000016</v>
      </c>
      <c r="H85" s="184">
        <f>F85/E85*100</f>
        <v>94.45179904955872</v>
      </c>
      <c r="I85" s="185">
        <f t="shared" si="19"/>
        <v>-6173.96</v>
      </c>
      <c r="J85" s="185">
        <f>F85/D85*100</f>
        <v>26.500476190476192</v>
      </c>
      <c r="K85" s="185">
        <v>2019.85</v>
      </c>
      <c r="L85" s="185">
        <f t="shared" si="20"/>
        <v>206.19000000000005</v>
      </c>
      <c r="M85" s="218">
        <f t="shared" si="22"/>
        <v>1.1020818377602297</v>
      </c>
      <c r="N85" s="183">
        <f>N81+N84+N82+N83</f>
        <v>6.800000000000182</v>
      </c>
      <c r="O85" s="187">
        <f>O81+O84+O82+O83</f>
        <v>0</v>
      </c>
      <c r="P85" s="183">
        <f>P81+P84+P82+P83</f>
        <v>-6.800000000000182</v>
      </c>
      <c r="Q85" s="185">
        <f>O85/N85*100</f>
        <v>0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1.12</v>
      </c>
      <c r="G86" s="160">
        <f t="shared" si="18"/>
        <v>-11.780000000000001</v>
      </c>
      <c r="H86" s="162">
        <f>F86/E86*100</f>
        <v>8.68217054263566</v>
      </c>
      <c r="I86" s="165">
        <f t="shared" si="19"/>
        <v>-36.88</v>
      </c>
      <c r="J86" s="165">
        <f>F86/D86*100</f>
        <v>2.947368421052632</v>
      </c>
      <c r="K86" s="165">
        <v>9.19</v>
      </c>
      <c r="L86" s="165">
        <f t="shared" si="20"/>
        <v>-8.07</v>
      </c>
      <c r="M86" s="207">
        <f t="shared" si="22"/>
        <v>0.1218715995647443</v>
      </c>
      <c r="N86" s="162">
        <f>E86-лютий!E83</f>
        <v>8</v>
      </c>
      <c r="O86" s="166">
        <f>F86-лютий!F83</f>
        <v>0.16000000000000014</v>
      </c>
      <c r="P86" s="165">
        <f t="shared" si="21"/>
        <v>-7.84</v>
      </c>
      <c r="Q86" s="165">
        <f>O86/N86</f>
        <v>0.020000000000000018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26.66</v>
      </c>
      <c r="G87" s="160">
        <f t="shared" si="18"/>
        <v>26.66</v>
      </c>
      <c r="H87" s="162"/>
      <c r="I87" s="165">
        <f t="shared" si="19"/>
        <v>26.66</v>
      </c>
      <c r="J87" s="165"/>
      <c r="K87" s="165">
        <v>0</v>
      </c>
      <c r="L87" s="165">
        <f t="shared" si="20"/>
        <v>26.66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3535.4700000000003</v>
      </c>
      <c r="G88" s="190">
        <f>F88-E88</f>
        <v>-8317.23</v>
      </c>
      <c r="H88" s="191">
        <f>F88/E88*100</f>
        <v>29.828393530587967</v>
      </c>
      <c r="I88" s="192">
        <f>F88-D88</f>
        <v>-242120.56</v>
      </c>
      <c r="J88" s="192">
        <f>F88/D88*100</f>
        <v>1.4391952845610996</v>
      </c>
      <c r="K88" s="192">
        <v>10307.64</v>
      </c>
      <c r="L88" s="192">
        <f>F88-K88</f>
        <v>-6772.169999999999</v>
      </c>
      <c r="M88" s="219">
        <f t="shared" si="22"/>
        <v>0.34299509878109835</v>
      </c>
      <c r="N88" s="189">
        <f>N74+N86+N80+N85+N87</f>
        <v>7465.8</v>
      </c>
      <c r="O88" s="189">
        <f>O74+O86+O80+O85+O87</f>
        <v>128.8000000000001</v>
      </c>
      <c r="P88" s="192">
        <f t="shared" si="21"/>
        <v>-7337</v>
      </c>
      <c r="Q88" s="192">
        <f>O88/N88*100</f>
        <v>1.7252002464571794</v>
      </c>
      <c r="R88" s="26">
        <f>O88-8104.96</f>
        <v>-7976.16</v>
      </c>
      <c r="S88" s="94">
        <f>O88/8104.96</f>
        <v>0.015891503474415678</v>
      </c>
    </row>
    <row r="89" spans="2:19" ht="17.25">
      <c r="B89" s="21" t="s">
        <v>32</v>
      </c>
      <c r="C89" s="65"/>
      <c r="D89" s="189">
        <f>D67+D88</f>
        <v>1603147.1300000001</v>
      </c>
      <c r="E89" s="189">
        <f>E67+E88</f>
        <v>310209.60000000003</v>
      </c>
      <c r="F89" s="189">
        <f>F67+F88</f>
        <v>259861.34999999998</v>
      </c>
      <c r="G89" s="190">
        <f>F89-E89</f>
        <v>-50348.25000000006</v>
      </c>
      <c r="H89" s="191">
        <f>F89/E89*100</f>
        <v>83.76960287495938</v>
      </c>
      <c r="I89" s="192">
        <f>F89-D89</f>
        <v>-1343285.7800000003</v>
      </c>
      <c r="J89" s="192">
        <f>F89/D89*100</f>
        <v>16.20945109386186</v>
      </c>
      <c r="K89" s="192">
        <f>K67+K88</f>
        <v>230773.41999999998</v>
      </c>
      <c r="L89" s="192">
        <f>F89-K89</f>
        <v>29087.929999999993</v>
      </c>
      <c r="M89" s="219">
        <f t="shared" si="22"/>
        <v>1.1260454085223506</v>
      </c>
      <c r="N89" s="190">
        <f>N67+N88</f>
        <v>101800.6</v>
      </c>
      <c r="O89" s="190">
        <f>O67+O88</f>
        <v>52928.30999999998</v>
      </c>
      <c r="P89" s="192">
        <f t="shared" si="21"/>
        <v>-48872.29000000002</v>
      </c>
      <c r="Q89" s="192">
        <f>O89/N89*100</f>
        <v>51.99213953552335</v>
      </c>
      <c r="R89" s="26">
        <f>O89-42872.96</f>
        <v>10055.349999999984</v>
      </c>
      <c r="S89" s="94">
        <f>O89/42872.96</f>
        <v>1.2345382730746834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11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3775.9354545454567</v>
      </c>
      <c r="D92" s="4" t="s">
        <v>24</v>
      </c>
      <c r="G92" s="279"/>
      <c r="H92" s="279"/>
      <c r="I92" s="279"/>
      <c r="J92" s="27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42810</v>
      </c>
      <c r="D93" s="28">
        <v>4014.5</v>
      </c>
      <c r="G93" s="4" t="s">
        <v>58</v>
      </c>
      <c r="O93" s="280"/>
      <c r="P93" s="280"/>
    </row>
    <row r="94" spans="3:16" ht="15">
      <c r="C94" s="80">
        <v>42809</v>
      </c>
      <c r="D94" s="28">
        <v>14652.3</v>
      </c>
      <c r="F94" s="112" t="s">
        <v>58</v>
      </c>
      <c r="G94" s="281"/>
      <c r="H94" s="281"/>
      <c r="I94" s="117"/>
      <c r="J94" s="282"/>
      <c r="K94" s="282"/>
      <c r="L94" s="282"/>
      <c r="M94" s="282"/>
      <c r="N94" s="282"/>
      <c r="O94" s="280"/>
      <c r="P94" s="280"/>
    </row>
    <row r="95" spans="3:16" ht="15.75" customHeight="1">
      <c r="C95" s="80">
        <v>42808</v>
      </c>
      <c r="D95" s="28">
        <v>2587</v>
      </c>
      <c r="F95" s="67"/>
      <c r="G95" s="281"/>
      <c r="H95" s="281"/>
      <c r="I95" s="117"/>
      <c r="J95" s="283"/>
      <c r="K95" s="283"/>
      <c r="L95" s="283"/>
      <c r="M95" s="283"/>
      <c r="N95" s="283"/>
      <c r="O95" s="280"/>
      <c r="P95" s="280"/>
    </row>
    <row r="96" spans="3:14" ht="15.75" customHeight="1">
      <c r="C96" s="80"/>
      <c r="F96" s="67"/>
      <c r="G96" s="287"/>
      <c r="H96" s="287"/>
      <c r="I96" s="123"/>
      <c r="J96" s="282"/>
      <c r="K96" s="282"/>
      <c r="L96" s="282"/>
      <c r="M96" s="282"/>
      <c r="N96" s="282"/>
    </row>
    <row r="97" spans="2:14" ht="18.75" customHeight="1">
      <c r="B97" s="288" t="s">
        <v>56</v>
      </c>
      <c r="C97" s="289"/>
      <c r="D97" s="132">
        <v>0.00852</v>
      </c>
      <c r="E97" s="68"/>
      <c r="F97" s="124" t="s">
        <v>105</v>
      </c>
      <c r="G97" s="281"/>
      <c r="H97" s="281"/>
      <c r="I97" s="125"/>
      <c r="J97" s="282"/>
      <c r="K97" s="282"/>
      <c r="L97" s="282"/>
      <c r="M97" s="282"/>
      <c r="N97" s="282"/>
    </row>
    <row r="98" spans="6:13" ht="9.75" customHeight="1">
      <c r="F98" s="67"/>
      <c r="G98" s="281"/>
      <c r="H98" s="281"/>
      <c r="I98" s="67"/>
      <c r="J98" s="68"/>
      <c r="K98" s="68"/>
      <c r="L98" s="68"/>
      <c r="M98" s="68"/>
    </row>
    <row r="99" spans="2:13" ht="22.5" customHeight="1" hidden="1">
      <c r="B99" s="284" t="s">
        <v>59</v>
      </c>
      <c r="C99" s="285"/>
      <c r="D99" s="79">
        <v>0</v>
      </c>
      <c r="E99" s="50" t="s">
        <v>24</v>
      </c>
      <c r="F99" s="67"/>
      <c r="G99" s="281"/>
      <c r="H99" s="281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258</v>
      </c>
      <c r="F100" s="201">
        <f>F48+F51+F52</f>
        <v>357.53000000000003</v>
      </c>
      <c r="G100" s="67">
        <f>G48+G51+G52</f>
        <v>99.53</v>
      </c>
      <c r="H100" s="68"/>
      <c r="I100" s="68"/>
      <c r="N100" s="28">
        <f>N48+N51+N52</f>
        <v>86</v>
      </c>
      <c r="O100" s="200">
        <f>O48+O51+O52</f>
        <v>74.70000000000002</v>
      </c>
      <c r="P100" s="28">
        <f>P48+P51+P52</f>
        <v>-11.299999999999978</v>
      </c>
    </row>
    <row r="101" spans="4:16" ht="15" hidden="1">
      <c r="D101" s="77"/>
      <c r="I101" s="28"/>
      <c r="O101" s="286"/>
      <c r="P101" s="286"/>
    </row>
    <row r="102" spans="2:17" ht="15" hidden="1">
      <c r="B102" s="4" t="s">
        <v>116</v>
      </c>
      <c r="D102" s="28">
        <f>D9+D15+D17+D18+D20+D23+D42+D45+D59+D65+D66</f>
        <v>1299048.6</v>
      </c>
      <c r="E102" s="28">
        <f>E9+E15+E17+E18+E20+E23+E42+E45+E59+E65+E66</f>
        <v>285525.7</v>
      </c>
      <c r="F102" s="227">
        <f>F9+F15+F17+F18+F20+F23+F42+F45+F59+F65+F66</f>
        <v>235642.19</v>
      </c>
      <c r="G102" s="28">
        <f>F102-E102</f>
        <v>-49883.51000000001</v>
      </c>
      <c r="H102" s="228">
        <f>F102/E102</f>
        <v>0.8252923992481237</v>
      </c>
      <c r="I102" s="28">
        <f>F102-D102</f>
        <v>-1063406.4100000001</v>
      </c>
      <c r="J102" s="228">
        <f>F102/D102</f>
        <v>0.181395977025032</v>
      </c>
      <c r="N102" s="28">
        <f>N9+N15+N17+N18+N20+N23+N42+N45+N47+N59+N65+N66</f>
        <v>89208.8</v>
      </c>
      <c r="O102" s="227">
        <f>O9+O15+O17+O18+O20+O23+O42+O45+O47+O59+O65+O66</f>
        <v>40795.07999999998</v>
      </c>
      <c r="P102" s="28">
        <f>O102-N102</f>
        <v>-48413.72000000002</v>
      </c>
      <c r="Q102" s="228">
        <f>O102/N102</f>
        <v>0.4572988315054118</v>
      </c>
    </row>
    <row r="103" spans="2:17" ht="15" hidden="1">
      <c r="B103" s="4" t="s">
        <v>117</v>
      </c>
      <c r="D103" s="28">
        <f>D43+D44+D46+D48+D50+D51+D52+D53+D54+D60+D64+D47</f>
        <v>58442.5</v>
      </c>
      <c r="E103" s="28">
        <f>E43+E44+E46+E48+E50+E51+E52+E53+E54+E60+E64+E47</f>
        <v>12831.2</v>
      </c>
      <c r="F103" s="227">
        <f>F43+F44+F46+F48+F50+F51+F52+F53+F54+F60+F64+F47</f>
        <v>13013.2</v>
      </c>
      <c r="G103" s="28">
        <f>G43+G44+G46+G48+G50+G51+G52+G53+G54+G60+G64+G47</f>
        <v>181.99999999999994</v>
      </c>
      <c r="H103" s="228">
        <f>F103/E103</f>
        <v>1.0141841760708274</v>
      </c>
      <c r="I103" s="28">
        <f>I43+I44+I46+I48+I50+I51+I52+I53+I54+I60+I64+I47</f>
        <v>-45429.3</v>
      </c>
      <c r="J103" s="228">
        <f>F103/D103</f>
        <v>0.2226667237027848</v>
      </c>
      <c r="K103" s="28">
        <f aca="true" t="shared" si="23" ref="K103:P103">K43+K44+K46+K48+K50+K51+K52+K53+K54+K60+K64+K47</f>
        <v>10575.08</v>
      </c>
      <c r="L103" s="28">
        <f t="shared" si="23"/>
        <v>2438.12</v>
      </c>
      <c r="M103" s="28">
        <f t="shared" si="23"/>
        <v>19.819314256753888</v>
      </c>
      <c r="N103" s="28">
        <f t="shared" si="23"/>
        <v>5139.6</v>
      </c>
      <c r="O103" s="227">
        <f t="shared" si="23"/>
        <v>4334.450000000001</v>
      </c>
      <c r="P103" s="28">
        <f t="shared" si="23"/>
        <v>-805.1499999999997</v>
      </c>
      <c r="Q103" s="228">
        <f>O103/N103</f>
        <v>0.8433438399875478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4" ref="E104:P104">SUM(E102:E103)</f>
        <v>298356.9</v>
      </c>
      <c r="F104" s="227">
        <f t="shared" si="24"/>
        <v>248655.39</v>
      </c>
      <c r="G104" s="28">
        <f t="shared" si="24"/>
        <v>-49701.51000000001</v>
      </c>
      <c r="H104" s="228">
        <f>F104/E104</f>
        <v>0.8334159189882989</v>
      </c>
      <c r="I104" s="28">
        <f t="shared" si="24"/>
        <v>-1108835.7100000002</v>
      </c>
      <c r="J104" s="228">
        <f>F104/D104</f>
        <v>0.18317275892269202</v>
      </c>
      <c r="K104" s="28">
        <f t="shared" si="24"/>
        <v>10575.08</v>
      </c>
      <c r="L104" s="28">
        <f t="shared" si="24"/>
        <v>2438.12</v>
      </c>
      <c r="M104" s="28">
        <f t="shared" si="24"/>
        <v>19.819314256753888</v>
      </c>
      <c r="N104" s="28">
        <f t="shared" si="24"/>
        <v>94348.40000000001</v>
      </c>
      <c r="O104" s="227">
        <f t="shared" si="24"/>
        <v>45129.529999999984</v>
      </c>
      <c r="P104" s="28">
        <f t="shared" si="24"/>
        <v>-49218.870000000024</v>
      </c>
      <c r="Q104" s="228">
        <f>O104/N104</f>
        <v>0.47832851431502793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7670.489999999962</v>
      </c>
      <c r="G105" s="28">
        <f t="shared" si="25"/>
        <v>7670.489999999962</v>
      </c>
      <c r="H105" s="228"/>
      <c r="I105" s="28">
        <f t="shared" si="25"/>
        <v>7670.489999999991</v>
      </c>
      <c r="J105" s="228"/>
      <c r="K105" s="28">
        <f t="shared" si="25"/>
        <v>209890.7</v>
      </c>
      <c r="L105" s="28">
        <f t="shared" si="25"/>
        <v>33421.979999999974</v>
      </c>
      <c r="M105" s="28">
        <f t="shared" si="25"/>
        <v>-18.656658174707957</v>
      </c>
      <c r="N105" s="28">
        <f t="shared" si="25"/>
        <v>-13.60000000000582</v>
      </c>
      <c r="O105" s="28">
        <f t="shared" si="25"/>
        <v>7669.979999999996</v>
      </c>
      <c r="P105" s="28">
        <f t="shared" si="25"/>
        <v>7683.580000000002</v>
      </c>
      <c r="Q105" s="28"/>
      <c r="R105" s="28">
        <f t="shared" si="25"/>
        <v>18031.50999999998</v>
      </c>
      <c r="S105" s="28">
        <f t="shared" si="25"/>
        <v>1.518623734468476</v>
      </c>
      <c r="T105" s="28">
        <f t="shared" si="25"/>
        <v>0</v>
      </c>
    </row>
    <row r="106" ht="15">
      <c r="E106" s="4" t="s">
        <v>58</v>
      </c>
    </row>
    <row r="107" spans="2:5" ht="15" hidden="1">
      <c r="B107" s="236" t="s">
        <v>145</v>
      </c>
      <c r="E107" s="28">
        <f>E67-E9-E20-E29-E35</f>
        <v>18183.200000000026</v>
      </c>
    </row>
    <row r="108" spans="2:5" ht="15" hidden="1">
      <c r="B108" s="236" t="s">
        <v>146</v>
      </c>
      <c r="E108" s="28">
        <f>E88-E83-E76-E77</f>
        <v>4666.4000000000015</v>
      </c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3" t="s">
        <v>139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</row>
    <row r="2" spans="2:19" s="1" customFormat="1" ht="15.75" customHeight="1">
      <c r="B2" s="254"/>
      <c r="C2" s="254"/>
      <c r="D2" s="25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5"/>
      <c r="B3" s="257"/>
      <c r="C3" s="258" t="s">
        <v>0</v>
      </c>
      <c r="D3" s="259" t="s">
        <v>138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132</v>
      </c>
      <c r="O3" s="266" t="s">
        <v>136</v>
      </c>
      <c r="P3" s="266"/>
      <c r="Q3" s="266"/>
      <c r="R3" s="266"/>
      <c r="S3" s="266"/>
    </row>
    <row r="4" spans="1:19" ht="22.5" customHeight="1">
      <c r="A4" s="255"/>
      <c r="B4" s="257"/>
      <c r="C4" s="258"/>
      <c r="D4" s="259"/>
      <c r="E4" s="267" t="s">
        <v>137</v>
      </c>
      <c r="F4" s="269" t="s">
        <v>33</v>
      </c>
      <c r="G4" s="271" t="s">
        <v>133</v>
      </c>
      <c r="H4" s="264" t="s">
        <v>134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140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19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135</v>
      </c>
      <c r="L5" s="277"/>
      <c r="M5" s="278"/>
      <c r="N5" s="265"/>
      <c r="O5" s="274"/>
      <c r="P5" s="272"/>
      <c r="Q5" s="275"/>
      <c r="R5" s="276" t="s">
        <v>102</v>
      </c>
      <c r="S5" s="27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79"/>
      <c r="H89" s="279"/>
      <c r="I89" s="279"/>
      <c r="J89" s="27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80"/>
      <c r="P90" s="28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1"/>
      <c r="H91" s="281"/>
      <c r="I91" s="117"/>
      <c r="J91" s="282"/>
      <c r="K91" s="282"/>
      <c r="L91" s="282"/>
      <c r="M91" s="282"/>
      <c r="N91" s="282"/>
      <c r="O91" s="280"/>
      <c r="P91" s="280"/>
    </row>
    <row r="92" spans="3:16" ht="15.75" customHeight="1">
      <c r="C92" s="80">
        <v>42790</v>
      </c>
      <c r="D92" s="28">
        <v>4206.9</v>
      </c>
      <c r="F92" s="67"/>
      <c r="G92" s="281"/>
      <c r="H92" s="281"/>
      <c r="I92" s="117"/>
      <c r="J92" s="283"/>
      <c r="K92" s="283"/>
      <c r="L92" s="283"/>
      <c r="M92" s="283"/>
      <c r="N92" s="283"/>
      <c r="O92" s="280"/>
      <c r="P92" s="280"/>
    </row>
    <row r="93" spans="3:14" ht="15.75" customHeight="1">
      <c r="C93" s="80"/>
      <c r="F93" s="67"/>
      <c r="G93" s="287"/>
      <c r="H93" s="287"/>
      <c r="I93" s="123"/>
      <c r="J93" s="282"/>
      <c r="K93" s="282"/>
      <c r="L93" s="282"/>
      <c r="M93" s="282"/>
      <c r="N93" s="282"/>
    </row>
    <row r="94" spans="2:14" ht="18.75" customHeight="1">
      <c r="B94" s="288" t="s">
        <v>56</v>
      </c>
      <c r="C94" s="289"/>
      <c r="D94" s="132">
        <v>7713.34596</v>
      </c>
      <c r="E94" s="68"/>
      <c r="F94" s="124" t="s">
        <v>105</v>
      </c>
      <c r="G94" s="281"/>
      <c r="H94" s="281"/>
      <c r="I94" s="125"/>
      <c r="J94" s="282"/>
      <c r="K94" s="282"/>
      <c r="L94" s="282"/>
      <c r="M94" s="282"/>
      <c r="N94" s="282"/>
    </row>
    <row r="95" spans="6:13" ht="9.75" customHeight="1">
      <c r="F95" s="67"/>
      <c r="G95" s="281"/>
      <c r="H95" s="281"/>
      <c r="I95" s="67"/>
      <c r="J95" s="68"/>
      <c r="K95" s="68"/>
      <c r="L95" s="68"/>
      <c r="M95" s="68"/>
    </row>
    <row r="96" spans="2:13" ht="22.5" customHeight="1" hidden="1">
      <c r="B96" s="284" t="s">
        <v>59</v>
      </c>
      <c r="C96" s="285"/>
      <c r="D96" s="79">
        <v>0</v>
      </c>
      <c r="E96" s="50" t="s">
        <v>24</v>
      </c>
      <c r="F96" s="67"/>
      <c r="G96" s="281"/>
      <c r="H96" s="28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6"/>
      <c r="P98" s="28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0" sqref="E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85"/>
      <c r="S1" s="86"/>
    </row>
    <row r="2" spans="2:19" s="1" customFormat="1" ht="15.75" customHeight="1">
      <c r="B2" s="254"/>
      <c r="C2" s="254"/>
      <c r="D2" s="25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5"/>
      <c r="B3" s="257"/>
      <c r="C3" s="258" t="s">
        <v>0</v>
      </c>
      <c r="D3" s="259" t="s">
        <v>121</v>
      </c>
      <c r="E3" s="31"/>
      <c r="F3" s="260" t="s">
        <v>26</v>
      </c>
      <c r="G3" s="261"/>
      <c r="H3" s="261"/>
      <c r="I3" s="261"/>
      <c r="J3" s="262"/>
      <c r="K3" s="82"/>
      <c r="L3" s="82"/>
      <c r="M3" s="82"/>
      <c r="N3" s="263" t="s">
        <v>119</v>
      </c>
      <c r="O3" s="266" t="s">
        <v>115</v>
      </c>
      <c r="P3" s="266"/>
      <c r="Q3" s="266"/>
      <c r="R3" s="266"/>
      <c r="S3" s="266"/>
    </row>
    <row r="4" spans="1:19" ht="22.5" customHeight="1">
      <c r="A4" s="255"/>
      <c r="B4" s="257"/>
      <c r="C4" s="258"/>
      <c r="D4" s="259"/>
      <c r="E4" s="267" t="s">
        <v>122</v>
      </c>
      <c r="F4" s="269" t="s">
        <v>33</v>
      </c>
      <c r="G4" s="271" t="s">
        <v>123</v>
      </c>
      <c r="H4" s="264" t="s">
        <v>124</v>
      </c>
      <c r="I4" s="271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73" t="s">
        <v>120</v>
      </c>
      <c r="P4" s="271" t="s">
        <v>49</v>
      </c>
      <c r="Q4" s="275" t="s">
        <v>48</v>
      </c>
      <c r="R4" s="90" t="s">
        <v>64</v>
      </c>
      <c r="S4" s="91" t="s">
        <v>63</v>
      </c>
    </row>
    <row r="5" spans="1:19" ht="67.5" customHeight="1">
      <c r="A5" s="256"/>
      <c r="B5" s="257"/>
      <c r="C5" s="258"/>
      <c r="D5" s="259"/>
      <c r="E5" s="268"/>
      <c r="F5" s="270"/>
      <c r="G5" s="272"/>
      <c r="H5" s="265"/>
      <c r="I5" s="272"/>
      <c r="J5" s="265"/>
      <c r="K5" s="276" t="s">
        <v>129</v>
      </c>
      <c r="L5" s="277"/>
      <c r="M5" s="278"/>
      <c r="N5" s="265"/>
      <c r="O5" s="274"/>
      <c r="P5" s="272"/>
      <c r="Q5" s="275"/>
      <c r="R5" s="276" t="s">
        <v>102</v>
      </c>
      <c r="S5" s="27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79"/>
      <c r="H89" s="279"/>
      <c r="I89" s="279"/>
      <c r="J89" s="27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80"/>
      <c r="P90" s="28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1"/>
      <c r="H91" s="281"/>
      <c r="I91" s="117"/>
      <c r="J91" s="282"/>
      <c r="K91" s="282"/>
      <c r="L91" s="282"/>
      <c r="M91" s="282"/>
      <c r="N91" s="282"/>
      <c r="O91" s="280"/>
      <c r="P91" s="280"/>
    </row>
    <row r="92" spans="3:16" ht="15.75" customHeight="1">
      <c r="C92" s="80">
        <v>42762</v>
      </c>
      <c r="D92" s="28">
        <v>8862.4</v>
      </c>
      <c r="F92" s="67"/>
      <c r="G92" s="281"/>
      <c r="H92" s="281"/>
      <c r="I92" s="117"/>
      <c r="J92" s="283"/>
      <c r="K92" s="283"/>
      <c r="L92" s="283"/>
      <c r="M92" s="283"/>
      <c r="N92" s="283"/>
      <c r="O92" s="280"/>
      <c r="P92" s="280"/>
    </row>
    <row r="93" spans="3:14" ht="15.75" customHeight="1">
      <c r="C93" s="80"/>
      <c r="F93" s="67"/>
      <c r="G93" s="287"/>
      <c r="H93" s="287"/>
      <c r="I93" s="123"/>
      <c r="J93" s="282"/>
      <c r="K93" s="282"/>
      <c r="L93" s="282"/>
      <c r="M93" s="282"/>
      <c r="N93" s="282"/>
    </row>
    <row r="94" spans="2:14" ht="18.75" customHeight="1">
      <c r="B94" s="288" t="s">
        <v>56</v>
      </c>
      <c r="C94" s="289"/>
      <c r="D94" s="132">
        <f>9505303.41/1000</f>
        <v>9505.30341</v>
      </c>
      <c r="E94" s="68"/>
      <c r="F94" s="124" t="s">
        <v>105</v>
      </c>
      <c r="G94" s="281"/>
      <c r="H94" s="281"/>
      <c r="I94" s="125"/>
      <c r="J94" s="282"/>
      <c r="K94" s="282"/>
      <c r="L94" s="282"/>
      <c r="M94" s="282"/>
      <c r="N94" s="282"/>
    </row>
    <row r="95" spans="6:13" ht="9.75" customHeight="1">
      <c r="F95" s="67"/>
      <c r="G95" s="281"/>
      <c r="H95" s="281"/>
      <c r="I95" s="67"/>
      <c r="J95" s="68"/>
      <c r="K95" s="68"/>
      <c r="L95" s="68"/>
      <c r="M95" s="68"/>
    </row>
    <row r="96" spans="2:13" ht="22.5" customHeight="1" hidden="1">
      <c r="B96" s="284" t="s">
        <v>59</v>
      </c>
      <c r="C96" s="285"/>
      <c r="D96" s="79">
        <v>0</v>
      </c>
      <c r="E96" s="50" t="s">
        <v>24</v>
      </c>
      <c r="F96" s="67"/>
      <c r="G96" s="281"/>
      <c r="H96" s="28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6"/>
      <c r="P98" s="28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2017-03-17T10:51:13Z</cp:lastPrinted>
  <dcterms:created xsi:type="dcterms:W3CDTF">2003-07-28T11:27:56Z</dcterms:created>
  <dcterms:modified xsi:type="dcterms:W3CDTF">2017-03-17T10:59:57Z</dcterms:modified>
  <cp:category/>
  <cp:version/>
  <cp:contentType/>
  <cp:contentStatus/>
</cp:coreProperties>
</file>